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4680" tabRatio="671" activeTab="0"/>
  </bookViews>
  <sheets>
    <sheet name="Cartridge Info" sheetId="1" r:id="rId1"/>
    <sheet name="Ballistics Table" sheetId="2" r:id="rId2"/>
    <sheet name="Calculations" sheetId="3" r:id="rId3"/>
    <sheet name="Distances (TRPs) KD Compass" sheetId="4" r:id="rId4"/>
    <sheet name="Distances (TRPs)" sheetId="5" r:id="rId5"/>
    <sheet name="Zero Data Summary" sheetId="6" r:id="rId6"/>
    <sheet name="Notes" sheetId="7" r:id="rId7"/>
  </sheets>
  <definedNames>
    <definedName name="_xlnm.Print_Area" localSheetId="1">'Ballistics Table'!$B$1:$H$46</definedName>
  </definedNames>
  <calcPr fullCalcOnLoad="1"/>
</workbook>
</file>

<file path=xl/comments1.xml><?xml version="1.0" encoding="utf-8"?>
<comments xmlns="http://schemas.openxmlformats.org/spreadsheetml/2006/main">
  <authors>
    <author>David L. King</author>
    <author>mic</author>
    <author>STUDIO COLUCCI RONZANO</author>
  </authors>
  <commentList>
    <comment ref="B5" authorId="0">
      <text>
        <r>
          <rPr>
            <b/>
            <sz val="8"/>
            <rFont val="Tahoma"/>
            <family val="0"/>
          </rPr>
          <t>Muzzle velocity in FPS</t>
        </r>
      </text>
    </comment>
    <comment ref="B8" authorId="0">
      <text>
        <r>
          <rPr>
            <b/>
            <sz val="8"/>
            <rFont val="Tahoma"/>
            <family val="0"/>
          </rPr>
          <t>Enter the desired begin distance for the ballistic calculations.  This must be less than or equal to the 'Zero Range' value.</t>
        </r>
      </text>
    </comment>
    <comment ref="B9" authorId="0">
      <text>
        <r>
          <rPr>
            <b/>
            <sz val="8"/>
            <rFont val="Tahoma"/>
            <family val="0"/>
          </rPr>
          <t>Range increment value.  The smaller the value the less overall distance on the Ballistics page.  For auto elevation determination(s) a small value here is recommended.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Desired MIL value.   Changing this value effects MIL calculations elsewhere on the spreadsheets.</t>
        </r>
      </text>
    </comment>
    <comment ref="B14" authorId="0">
      <text>
        <r>
          <rPr>
            <b/>
            <sz val="8"/>
            <rFont val="Tahoma"/>
            <family val="0"/>
          </rPr>
          <t>Desired Minute of Angle (MOA) value.  Many riflescopes use MOA values vice inches for 'click' values.</t>
        </r>
      </text>
    </comment>
    <comment ref="B15" authorId="0">
      <text>
        <r>
          <rPr>
            <b/>
            <sz val="8"/>
            <rFont val="Tahoma"/>
            <family val="0"/>
          </rPr>
          <t>Zero or sight-in range value.  This must be greater than the Start Distance and evenly divisible by the Range Increment.</t>
        </r>
      </text>
    </comment>
    <comment ref="B17" authorId="0">
      <text>
        <r>
          <rPr>
            <b/>
            <sz val="8"/>
            <rFont val="Tahoma"/>
            <family val="0"/>
          </rPr>
          <t>Enter the direction the wind is coming FROM.  Use the clock method, 12 is from straight ahead, 6 is from directly behind.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Enter the value of the slope (angle) to the target.  The elevation adjustments for the distances are calculated using this slope value.  
Enter '0' for no-slope.</t>
        </r>
      </text>
    </comment>
    <comment ref="B20" authorId="0">
      <text>
        <r>
          <rPr>
            <b/>
            <sz val="8"/>
            <rFont val="Tahoma"/>
            <family val="0"/>
          </rPr>
          <t>Mover lead offset decreases lead to allow the POI to be behind the POA.  This allows for leading edge hold method when shooting movers.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Enter the distance to the target</t>
        </r>
      </text>
    </comment>
    <comment ref="H5" authorId="0">
      <text>
        <r>
          <rPr>
            <b/>
            <sz val="8"/>
            <rFont val="Tahoma"/>
            <family val="0"/>
          </rPr>
          <t>Enter the GPS coordinates in UTM values.  FFP is Final Firing Position (the shooters location).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Enter the GPS coordinates of the target in UTM values.  TRP is a Target Reference Point (the actual target or a fixed reference location)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Enter the miss distance in inches</t>
        </r>
      </text>
    </comment>
    <comment ref="A37" authorId="1">
      <text>
        <r>
          <rPr>
            <b/>
            <sz val="9"/>
            <rFont val="Tahoma"/>
            <family val="0"/>
          </rPr>
          <t>MOA inch value</t>
        </r>
      </text>
    </comment>
    <comment ref="J17" authorId="2">
      <text>
        <r>
          <rPr>
            <b/>
            <sz val="8"/>
            <rFont val="Tahoma"/>
            <family val="0"/>
          </rPr>
          <t>Corrected mils</t>
        </r>
      </text>
    </comment>
    <comment ref="I17" authorId="2">
      <text>
        <r>
          <rPr>
            <b/>
            <sz val="8"/>
            <rFont val="Tahoma"/>
            <family val="0"/>
          </rPr>
          <t>corrected MoA</t>
        </r>
      </text>
    </comment>
    <comment ref="G17" authorId="2">
      <text>
        <r>
          <rPr>
            <b/>
            <sz val="8"/>
            <rFont val="Tahoma"/>
            <family val="0"/>
          </rPr>
          <t>Mils equal MoA</t>
        </r>
      </text>
    </comment>
    <comment ref="H17" authorId="2">
      <text>
        <r>
          <rPr>
            <b/>
            <sz val="8"/>
            <rFont val="Tahoma"/>
            <family val="0"/>
          </rPr>
          <t>Corresponding ComeUps (MoA)</t>
        </r>
      </text>
    </comment>
    <comment ref="K17" authorId="2">
      <text>
        <r>
          <rPr>
            <b/>
            <sz val="8"/>
            <rFont val="Tahoma"/>
            <family val="0"/>
          </rPr>
          <t>Interpolazione distanza metri=
correzione MoA</t>
        </r>
      </text>
    </comment>
    <comment ref="L17" authorId="2">
      <text>
        <r>
          <rPr>
            <b/>
            <sz val="8"/>
            <rFont val="Tahoma"/>
            <family val="0"/>
          </rPr>
          <t>Mils correzione da MoA</t>
        </r>
      </text>
    </comment>
    <comment ref="F7" authorId="1">
      <text>
        <r>
          <rPr>
            <b/>
            <sz val="9"/>
            <rFont val="Tahoma"/>
            <family val="0"/>
          </rPr>
          <t>Meters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9"/>
            <rFont val="Tahoma"/>
            <family val="0"/>
          </rPr>
          <t>/50 meters</t>
        </r>
      </text>
    </comment>
    <comment ref="E15" authorId="1">
      <text>
        <r>
          <rPr>
            <b/>
            <sz val="9"/>
            <rFont val="Tahoma"/>
            <family val="0"/>
          </rPr>
          <t>nearest fifty meters</t>
        </r>
      </text>
    </comment>
    <comment ref="G25" authorId="1">
      <text>
        <r>
          <rPr>
            <b/>
            <sz val="9"/>
            <rFont val="Tahoma"/>
            <family val="0"/>
          </rPr>
          <t>nearest fifty meters</t>
        </r>
      </text>
    </comment>
    <comment ref="F15" authorId="1">
      <text>
        <r>
          <rPr>
            <b/>
            <sz val="9"/>
            <rFont val="Tahoma"/>
            <family val="0"/>
          </rPr>
          <t>Real Distance (meters)</t>
        </r>
      </text>
    </comment>
    <comment ref="G15" authorId="1">
      <text>
        <r>
          <rPr>
            <b/>
            <sz val="9"/>
            <rFont val="Tahoma"/>
            <family val="2"/>
          </rPr>
          <t>Interpolation base value</t>
        </r>
      </text>
    </comment>
    <comment ref="F13" authorId="1">
      <text>
        <r>
          <rPr>
            <b/>
            <sz val="9"/>
            <rFont val="Tahoma"/>
            <family val="0"/>
          </rPr>
          <t>Slant Angle</t>
        </r>
      </text>
    </comment>
    <comment ref="F17" authorId="1">
      <text>
        <r>
          <rPr>
            <b/>
            <sz val="9"/>
            <rFont val="Tahoma"/>
            <family val="0"/>
          </rPr>
          <t>MoA</t>
        </r>
      </text>
    </comment>
    <comment ref="F18" authorId="1">
      <text>
        <r>
          <rPr>
            <b/>
            <sz val="9"/>
            <rFont val="Tahoma"/>
            <family val="0"/>
          </rPr>
          <t>MoA</t>
        </r>
      </text>
    </comment>
    <comment ref="F14" authorId="1">
      <text>
        <r>
          <rPr>
            <b/>
            <sz val="9"/>
            <rFont val="Tahoma"/>
            <family val="0"/>
          </rPr>
          <t>Enter distance meters</t>
        </r>
      </text>
    </comment>
    <comment ref="H25" authorId="1">
      <text>
        <r>
          <rPr>
            <b/>
            <sz val="9"/>
            <rFont val="Tahoma"/>
            <family val="0"/>
          </rPr>
          <t>Wind calc</t>
        </r>
      </text>
    </comment>
    <comment ref="G31" authorId="1">
      <text>
        <r>
          <rPr>
            <b/>
            <sz val="9"/>
            <rFont val="Tahoma"/>
            <family val="0"/>
          </rPr>
          <t>True range for wind calculation</t>
        </r>
      </text>
    </comment>
    <comment ref="G14" authorId="1">
      <text>
        <r>
          <rPr>
            <b/>
            <sz val="9"/>
            <rFont val="Tahoma"/>
            <family val="0"/>
          </rPr>
          <t>MET/ENV correction</t>
        </r>
      </text>
    </comment>
    <comment ref="H22" authorId="1">
      <text>
        <r>
          <rPr>
            <b/>
            <sz val="9"/>
            <rFont val="Tahoma"/>
            <family val="0"/>
          </rPr>
          <t>°C equivalent</t>
        </r>
      </text>
    </comment>
  </commentList>
</comments>
</file>

<file path=xl/comments4.xml><?xml version="1.0" encoding="utf-8"?>
<comments xmlns="http://schemas.openxmlformats.org/spreadsheetml/2006/main">
  <authors>
    <author>David L. King</author>
  </authors>
  <commentList>
    <comment ref="J8" authorId="0">
      <text>
        <r>
          <rPr>
            <b/>
            <sz val="8"/>
            <rFont val="Tahoma"/>
            <family val="0"/>
          </rPr>
          <t>Enter the wind direction to this Target Reference Point</t>
        </r>
        <r>
          <rPr>
            <sz val="8"/>
            <rFont val="Tahoma"/>
            <family val="0"/>
          </rPr>
          <t xml:space="preserve">
Wind direction for all other TRPs is calculated using this 'base' wind direction.</t>
        </r>
      </text>
    </comment>
    <comment ref="C5" authorId="0">
      <text>
        <r>
          <rPr>
            <b/>
            <sz val="8"/>
            <rFont val="Tahoma"/>
            <family val="0"/>
          </rPr>
          <t>Enter the geographic elevation of this position.  If no slope values are desired leave this value '0'.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Compass Bearing (magnetic) to these TRPs.</t>
        </r>
      </text>
    </comment>
    <comment ref="D8" authorId="0">
      <text>
        <r>
          <rPr>
            <b/>
            <sz val="8"/>
            <rFont val="Tahoma"/>
            <family val="0"/>
          </rPr>
          <t>Distance in meters to these TRPs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<sst xmlns="http://schemas.openxmlformats.org/spreadsheetml/2006/main" count="420" uniqueCount="260">
  <si>
    <t>****************************</t>
  </si>
  <si>
    <t>TABULAR</t>
  </si>
  <si>
    <t>DATA</t>
  </si>
  <si>
    <t>*************************************</t>
  </si>
  <si>
    <t>######################################</t>
  </si>
  <si>
    <t xml:space="preserve">CHANGEABLE </t>
  </si>
  <si>
    <t>##################</t>
  </si>
  <si>
    <t>SULOOKUP</t>
  </si>
  <si>
    <t>1\SU</t>
  </si>
  <si>
    <t>VB</t>
  </si>
  <si>
    <t>AS</t>
  </si>
  <si>
    <t>BS</t>
  </si>
  <si>
    <t>CS</t>
  </si>
  <si>
    <t>AT</t>
  </si>
  <si>
    <t>BT</t>
  </si>
  <si>
    <t>CT</t>
  </si>
  <si>
    <t>SU</t>
  </si>
  <si>
    <t>TU</t>
  </si>
  <si>
    <t>T</t>
  </si>
  <si>
    <t>F</t>
  </si>
  <si>
    <t>DROP @ ZERO</t>
  </si>
  <si>
    <t>MOA @ ZERO</t>
  </si>
  <si>
    <t>TV</t>
  </si>
  <si>
    <t>SV</t>
  </si>
  <si>
    <t>RO</t>
  </si>
  <si>
    <t>AF</t>
  </si>
  <si>
    <t>RF</t>
  </si>
  <si>
    <t>Ballistic Data</t>
  </si>
  <si>
    <t>Bullet BC</t>
  </si>
  <si>
    <t>Velocity (fps)</t>
  </si>
  <si>
    <t>Bullet Weight (gr)</t>
  </si>
  <si>
    <t>Start Distance</t>
  </si>
  <si>
    <t>Range Increment</t>
  </si>
  <si>
    <t>Altitude (ft)</t>
  </si>
  <si>
    <t>Temperature (F)</t>
  </si>
  <si>
    <t>Scope Height (inch)</t>
  </si>
  <si>
    <t>Zero Range (yds)</t>
  </si>
  <si>
    <t>yds</t>
  </si>
  <si>
    <t>fps</t>
  </si>
  <si>
    <t>ft/lbs</t>
  </si>
  <si>
    <t>Yards</t>
  </si>
  <si>
    <t>Meters</t>
  </si>
  <si>
    <t>Drop</t>
  </si>
  <si>
    <t>Energy</t>
  </si>
  <si>
    <t>Range</t>
  </si>
  <si>
    <t>Total</t>
  </si>
  <si>
    <t>MOA</t>
  </si>
  <si>
    <t xml:space="preserve">    Meters  --&gt; Yards</t>
  </si>
  <si>
    <t xml:space="preserve">    Yards  --&gt; Meters </t>
  </si>
  <si>
    <t xml:space="preserve">  Range Conversion</t>
  </si>
  <si>
    <t xml:space="preserve">  Bullet</t>
  </si>
  <si>
    <t>Path</t>
  </si>
  <si>
    <t>MILs</t>
  </si>
  <si>
    <t>Wind Speed (mph)</t>
  </si>
  <si>
    <t>mph</t>
  </si>
  <si>
    <t>Inches</t>
  </si>
  <si>
    <t>TOF</t>
  </si>
  <si>
    <t>Mil</t>
  </si>
  <si>
    <t>MIL</t>
  </si>
  <si>
    <t>ComeUps</t>
  </si>
  <si>
    <t>Wind =</t>
  </si>
  <si>
    <t>Static Temp Chart</t>
  </si>
  <si>
    <t xml:space="preserve">Deg. C </t>
  </si>
  <si>
    <t>Deg. F</t>
  </si>
  <si>
    <t>Calculated</t>
  </si>
  <si>
    <t>Temperature Conversion</t>
  </si>
  <si>
    <t>Deg. C --&gt;</t>
  </si>
  <si>
    <t>Deg. F --&gt;</t>
  </si>
  <si>
    <t>Deg. C</t>
  </si>
  <si>
    <t>Target Size</t>
  </si>
  <si>
    <t>Inch</t>
  </si>
  <si>
    <t>Distance to target in</t>
  </si>
  <si>
    <t>Target Reference Points</t>
  </si>
  <si>
    <t>Easting</t>
  </si>
  <si>
    <t>Northing</t>
  </si>
  <si>
    <t>Mil Value (3.44, 3.6)</t>
  </si>
  <si>
    <t>MOA value (1.0, 1.047)</t>
  </si>
  <si>
    <t>Conversions:  MILs &lt;--&gt;  MOA</t>
  </si>
  <si>
    <t>Position</t>
  </si>
  <si>
    <t>Selected</t>
  </si>
  <si>
    <t>Direction</t>
  </si>
  <si>
    <t>Mils</t>
  </si>
  <si>
    <t>TRP Easting</t>
  </si>
  <si>
    <t>TRP Northing</t>
  </si>
  <si>
    <t>FFP Easting</t>
  </si>
  <si>
    <t>FFP Northing</t>
  </si>
  <si>
    <t>Wind Direction (Clock)</t>
  </si>
  <si>
    <t>Slope Value (degrees)</t>
  </si>
  <si>
    <t>Clock</t>
  </si>
  <si>
    <t xml:space="preserve">Value </t>
  </si>
  <si>
    <t>Right</t>
  </si>
  <si>
    <t>Left</t>
  </si>
  <si>
    <t>No Value</t>
  </si>
  <si>
    <t>None</t>
  </si>
  <si>
    <t>Altering these calculation could cause a serious spreadsheet disaster.</t>
  </si>
  <si>
    <t xml:space="preserve">        Final Firing Position UTM</t>
  </si>
  <si>
    <t>Range (Yds)</t>
  </si>
  <si>
    <t>Trajectory</t>
  </si>
  <si>
    <t xml:space="preserve">     Calculated Range</t>
  </si>
  <si>
    <t>Exterior Ballistics Table</t>
  </si>
  <si>
    <t>Windage</t>
  </si>
  <si>
    <t>Target Size (inches)</t>
  </si>
  <si>
    <t>Vely</t>
  </si>
  <si>
    <t>secs</t>
  </si>
  <si>
    <t>Mover mph</t>
  </si>
  <si>
    <t>Distance (Yards)</t>
  </si>
  <si>
    <t>Trajectory Data</t>
  </si>
  <si>
    <t>Cartridge Info Page</t>
  </si>
  <si>
    <t>Split up MIL and GPS range finding methods and gave each its own trajectory/windage calculation</t>
  </si>
  <si>
    <t>Reorganized the page and the imput and output blocks</t>
  </si>
  <si>
    <t>No changes made to calculations</t>
  </si>
  <si>
    <t>Ballistics Table</t>
  </si>
  <si>
    <t>Combined all the various ballistics parameters into one all-encompasing table.</t>
  </si>
  <si>
    <t>No changes made to calculations but I had to correct a bunch of errors that cropped up do to the page-page moves.</t>
  </si>
  <si>
    <t>No data or calculations were removed.</t>
  </si>
  <si>
    <t>Conversions etc were moved to the Calculations Page</t>
  </si>
  <si>
    <t>TRP Page</t>
  </si>
  <si>
    <t>Minor reoganization</t>
  </si>
  <si>
    <t>I would like to remove the Inches column and add a Windage (MOA) column but I am having a bit of trouble getting the formula correct.</t>
  </si>
  <si>
    <t>Trajectory calculations need to be modified to include a "Too Far" warning like on the TRP Page.</t>
  </si>
  <si>
    <t>Windage calculation needs to incorporate the direction component as on the Cartridge Info page</t>
  </si>
  <si>
    <t>Trajectory calculation needs to incorporate the slope as on the Cartridge Info page.</t>
  </si>
  <si>
    <t>If you feel like it, a Movers column showing MIL hold-offs could also be added to this page.</t>
  </si>
  <si>
    <t>Can the slope be set to any angle or does it have to be 15, 30, or 45 degrees?</t>
  </si>
  <si>
    <t>Location:</t>
  </si>
  <si>
    <t>Campbell's Farm</t>
  </si>
  <si>
    <t>Corner - Gate</t>
  </si>
  <si>
    <t>Ridge - close</t>
  </si>
  <si>
    <t>Ridge - far</t>
  </si>
  <si>
    <t>Road Gate</t>
  </si>
  <si>
    <t>Feeder - north</t>
  </si>
  <si>
    <t>Feeder - middle</t>
  </si>
  <si>
    <t>Feeder - south</t>
  </si>
  <si>
    <t>Scrape - south</t>
  </si>
  <si>
    <t>Scrape - north</t>
  </si>
  <si>
    <t>Bare Patch - middle</t>
  </si>
  <si>
    <t>Bare Patch - south</t>
  </si>
  <si>
    <t>Bare Patch - north</t>
  </si>
  <si>
    <t>Base of Hill near corner gate</t>
  </si>
  <si>
    <t xml:space="preserve">     Data Input</t>
  </si>
  <si>
    <t>Target Vely (mph)</t>
  </si>
  <si>
    <t>Mover Lead (MIL)</t>
  </si>
  <si>
    <t>TRP</t>
  </si>
  <si>
    <t>Test Area (Too Far)</t>
  </si>
  <si>
    <t>Slope</t>
  </si>
  <si>
    <t>I like it but the KD calc was gone.  I use KD range a lot so I added it back in, you can keep or remove.</t>
  </si>
  <si>
    <t>Slope is calculated on any value, it looks magic because of the vlookup.  If the slope distance</t>
  </si>
  <si>
    <t>doesn't kick the trajectory into a new range discriminated value there is no apparent change.</t>
  </si>
  <si>
    <t>Looks great too.</t>
  </si>
  <si>
    <t>Okay, windage in MOA fixed/added and Inches column gone.</t>
  </si>
  <si>
    <t>I managed to get it to work but it looks funny on short range values, again because of the</t>
  </si>
  <si>
    <t>range discrimination change required to kick the value over.</t>
  </si>
  <si>
    <t>This was an easy add, good idea!</t>
  </si>
  <si>
    <t>Mover</t>
  </si>
  <si>
    <t>No Problem</t>
  </si>
  <si>
    <t>MIL Range Estimation</t>
  </si>
  <si>
    <t>GPS Range Calculation</t>
  </si>
  <si>
    <t xml:space="preserve">Known Distance </t>
  </si>
  <si>
    <t xml:space="preserve">   Target / Range Data</t>
  </si>
  <si>
    <t>Wind</t>
  </si>
  <si>
    <t>Zero</t>
  </si>
  <si>
    <t>Cartridge</t>
  </si>
  <si>
    <t xml:space="preserve">                               Target Locations UTM</t>
  </si>
  <si>
    <t>Sorry, I didn't realize I had deleted something important.</t>
  </si>
  <si>
    <t>Can the "Too Far" warning be added to the three calculation blocks?</t>
  </si>
  <si>
    <t xml:space="preserve">I saw that.  At first it wierded me out but it just takes a bit of getting used to.  </t>
  </si>
  <si>
    <t>I also noticed the same thing (opposite effect) if you change the range increment</t>
  </si>
  <si>
    <t>I had a thought.  Since the slope is calculated at any angle is there any</t>
  </si>
  <si>
    <t>need to include the 15, 30 and 45 degree columns?  Getting rid of them would</t>
  </si>
  <si>
    <t>reduce the size and complexity of the Table without hurting the data.</t>
  </si>
  <si>
    <t>Looks excellent!</t>
  </si>
  <si>
    <t>This is just a note that will have to be added into the manual</t>
  </si>
  <si>
    <t>east</t>
  </si>
  <si>
    <t>north</t>
  </si>
  <si>
    <t>neg east</t>
  </si>
  <si>
    <t>pos east</t>
  </si>
  <si>
    <t>pos north</t>
  </si>
  <si>
    <t>neg north</t>
  </si>
  <si>
    <t>Corrected</t>
  </si>
  <si>
    <t>Wind moa</t>
  </si>
  <si>
    <t xml:space="preserve"> </t>
  </si>
  <si>
    <t>Wind Lookups</t>
  </si>
  <si>
    <t>Clock Lookups</t>
  </si>
  <si>
    <t>Tan</t>
  </si>
  <si>
    <t>Traj.</t>
  </si>
  <si>
    <t>Heading</t>
  </si>
  <si>
    <t>Test 2 oclock</t>
  </si>
  <si>
    <t>On the Distances (TRP) I've addd what COULD be the corrected wind values for all TRP's.</t>
  </si>
  <si>
    <t>I'll need to be looked at closely and my brain is a little fuddled right now so I'll let you look.</t>
  </si>
  <si>
    <t>Wind for the Reference TRP will change all other trp wind determinations.  I added a couple</t>
  </si>
  <si>
    <t>of columns for our use to check the calcs (Trajectory heading and Wind from degrees).</t>
  </si>
  <si>
    <t>Change the reference (Yellow) wind value and marvel at the Rube Goldberg calculations.</t>
  </si>
  <si>
    <t>rel</t>
  </si>
  <si>
    <t>wind</t>
  </si>
  <si>
    <t>heading</t>
  </si>
  <si>
    <t>Found an error on the ballistics page, the inches of lead on the mover had lost it's link and was incorrect.</t>
  </si>
  <si>
    <t>Fixed a problem with the automatic wind direction determination.</t>
  </si>
  <si>
    <t>04 July 2001 Rev 2</t>
  </si>
  <si>
    <t>04 July 2001 Rev 3</t>
  </si>
  <si>
    <t>Mover Lead offset(in.)</t>
  </si>
  <si>
    <t>Offset (in.)</t>
  </si>
  <si>
    <t>05 July 2001 Rev 1</t>
  </si>
  <si>
    <t xml:space="preserve">Added mover offset to Cartridge Info page and changed Mover Lead on Ballistics page.  </t>
  </si>
  <si>
    <t>With mover offset those that shoot leading edge method can adjust for target depth.</t>
  </si>
  <si>
    <t>Added "Too Far" verbage into Trajectory MOA on the Cartridge Info screen when range exceeds ballistics chart.</t>
  </si>
  <si>
    <t>Bearing</t>
  </si>
  <si>
    <t>Elevation</t>
  </si>
  <si>
    <t xml:space="preserve">                               Target Locations</t>
  </si>
  <si>
    <t>(Meters)</t>
  </si>
  <si>
    <t xml:space="preserve">         Range (LOS)</t>
  </si>
  <si>
    <t>Added Distances (TRP) KD Compass sheet</t>
  </si>
  <si>
    <t xml:space="preserve">This sheet is a little tricky. </t>
  </si>
  <si>
    <t>Compass bearings to the TRPs are needed to determine windage.</t>
  </si>
  <si>
    <t>Elevation is required to get an automatic slope determination.</t>
  </si>
  <si>
    <t>The elevation difference (FFP to TRP) cannot exceed the Line Of Sight (LOS) distance to the target.</t>
  </si>
  <si>
    <t>(This can't actually happen in real life but in playland while testing the program it can.)</t>
  </si>
  <si>
    <t>I'm not sure if the angles for the slope are correct, they need verification.</t>
  </si>
  <si>
    <t>05 July 2001 Rev 3</t>
  </si>
  <si>
    <t>05 July 2001 Rev 2</t>
  </si>
  <si>
    <t>Fixed MOA calculations on Ballistics page, this is the link for nearly all trajectory</t>
  </si>
  <si>
    <t>calculations so other trajectory information was effected/corrected.</t>
  </si>
  <si>
    <t>06 July 2001 Rev 2</t>
  </si>
  <si>
    <t>06 July 2001 Rev 1</t>
  </si>
  <si>
    <t>Cosmetic changes.</t>
  </si>
  <si>
    <t>Zero Data Summary</t>
  </si>
  <si>
    <t>Updated</t>
  </si>
  <si>
    <t>Caliber</t>
  </si>
  <si>
    <t>Ammo lot#</t>
  </si>
  <si>
    <t>Location</t>
  </si>
  <si>
    <t>Temperature</t>
  </si>
  <si>
    <t>Still working on the variable MOA  from inch thing.  I believe I've finally got the conversions working.</t>
  </si>
  <si>
    <t xml:space="preserve"> Changed the Cartridge Info page elevation calcs to reflect MOA</t>
  </si>
  <si>
    <t>Slope:</t>
  </si>
  <si>
    <t>Bullet</t>
  </si>
  <si>
    <t>Velocity</t>
  </si>
  <si>
    <t>Units = MOA</t>
  </si>
  <si>
    <t>Correction (Elevation)</t>
  </si>
  <si>
    <t>Correction (Windage)</t>
  </si>
  <si>
    <t>Miss High (inches)</t>
  </si>
  <si>
    <t>Miss Low (inches)</t>
  </si>
  <si>
    <t>Miss Right (inches)</t>
  </si>
  <si>
    <t>Miss Left (inches)</t>
  </si>
  <si>
    <t>Added correction information for KD data on Cartridge Info page.</t>
  </si>
  <si>
    <t>3900ft</t>
  </si>
  <si>
    <t>Distances (TRP) sheet calculations</t>
  </si>
  <si>
    <t>Distances (TRP) KD Compass calculations</t>
  </si>
  <si>
    <t>Wind from:</t>
  </si>
  <si>
    <t>Added some "spinner" buttons to the Distances pages, these change the wind and mover speed.</t>
  </si>
  <si>
    <t>Added a warning cell on the Cartridge Info page for the range increment and Zero compatibility.</t>
  </si>
  <si>
    <t>6,5-284 Norma</t>
  </si>
  <si>
    <t>m</t>
  </si>
  <si>
    <t>Temperature °C</t>
  </si>
  <si>
    <t>Distance (Meters)</t>
  </si>
  <si>
    <t>MoA</t>
  </si>
  <si>
    <t>Corrections</t>
  </si>
  <si>
    <t>1/4 MoA</t>
  </si>
  <si>
    <t xml:space="preserve">Clicks </t>
  </si>
  <si>
    <t>0,1 Mrad</t>
  </si>
  <si>
    <t>0,05 Mrad</t>
  </si>
  <si>
    <t>1/8 MoA</t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</si>
</sst>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dd\-mmm\-yy_)"/>
    <numFmt numFmtId="180" formatCode="0_)"/>
    <numFmt numFmtId="181" formatCode="0.0_)"/>
    <numFmt numFmtId="182" formatCode="0.000_)"/>
    <numFmt numFmtId="183" formatCode="0.0"/>
    <numFmt numFmtId="184" formatCode="0.000"/>
    <numFmt numFmtId="185" formatCode="0.0;[Red]0.0"/>
    <numFmt numFmtId="186" formatCode="0.000000000000000"/>
    <numFmt numFmtId="187" formatCode="0.000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0#"/>
    <numFmt numFmtId="196" formatCode="0.0000000000000"/>
    <numFmt numFmtId="197" formatCode="_(* #,##0.0_);_(* \(#,##0.0\);_(* &quot;-&quot;_);_(@_)"/>
    <numFmt numFmtId="198" formatCode="_(* #,##0.00_);_(* \(#,##0.00\);_(* &quot;-&quot;_);_(@_)"/>
  </numFmts>
  <fonts count="3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22"/>
      <name val="Courier"/>
      <family val="0"/>
    </font>
    <font>
      <b/>
      <sz val="10"/>
      <color indexed="22"/>
      <name val="Tahoma"/>
      <family val="2"/>
    </font>
    <font>
      <b/>
      <i/>
      <sz val="10"/>
      <color indexed="9"/>
      <name val="Arial"/>
      <family val="2"/>
    </font>
    <font>
      <sz val="8"/>
      <color indexed="18"/>
      <name val="Arial"/>
      <family val="2"/>
    </font>
    <font>
      <sz val="8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22"/>
      <name val="Arial"/>
      <family val="2"/>
    </font>
    <font>
      <b/>
      <sz val="14"/>
      <name val="Arial"/>
      <family val="2"/>
    </font>
    <font>
      <u val="single"/>
      <sz val="10"/>
      <name val="Courier"/>
      <family val="3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2"/>
      <name val="Courier"/>
      <family val="3"/>
    </font>
    <font>
      <b/>
      <sz val="9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sz val="10"/>
      <color indexed="17"/>
      <name val="Courier"/>
      <family val="3"/>
    </font>
    <font>
      <sz val="9"/>
      <name val="Arial"/>
      <family val="2"/>
    </font>
    <font>
      <b/>
      <sz val="8"/>
      <color indexed="22"/>
      <name val="Arial"/>
      <family val="2"/>
    </font>
    <font>
      <b/>
      <sz val="9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Courier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26">
    <xf numFmtId="0" fontId="0" fillId="2" borderId="0" xfId="0" applyAlignment="1">
      <alignment/>
    </xf>
    <xf numFmtId="0" fontId="9" fillId="2" borderId="0" xfId="0" applyFont="1" applyAlignment="1">
      <alignment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>
      <alignment horizontal="right"/>
    </xf>
    <xf numFmtId="18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183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0" fillId="2" borderId="0" xfId="0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0" fillId="3" borderId="3" xfId="0" applyFont="1" applyFill="1" applyBorder="1" applyAlignment="1" applyProtection="1">
      <alignment horizontal="right"/>
      <protection locked="0"/>
    </xf>
    <xf numFmtId="1" fontId="15" fillId="2" borderId="0" xfId="0" applyNumberFormat="1" applyFont="1" applyAlignment="1" applyProtection="1">
      <alignment horizontal="center"/>
      <protection hidden="1"/>
    </xf>
    <xf numFmtId="0" fontId="8" fillId="4" borderId="2" xfId="0" applyFont="1" applyFill="1" applyBorder="1" applyAlignment="1">
      <alignment horizontal="right"/>
    </xf>
    <xf numFmtId="0" fontId="10" fillId="3" borderId="12" xfId="0" applyFont="1" applyFill="1" applyBorder="1" applyAlignment="1" applyProtection="1">
      <alignment horizontal="right"/>
      <protection locked="0"/>
    </xf>
    <xf numFmtId="0" fontId="10" fillId="3" borderId="13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/>
      <protection hidden="1"/>
    </xf>
    <xf numFmtId="1" fontId="10" fillId="3" borderId="3" xfId="0" applyNumberFormat="1" applyFont="1" applyFill="1" applyBorder="1" applyAlignment="1" applyProtection="1">
      <alignment horizontal="right"/>
      <protection locked="0"/>
    </xf>
    <xf numFmtId="2" fontId="10" fillId="3" borderId="3" xfId="0" applyNumberFormat="1" applyFont="1" applyFill="1" applyBorder="1" applyAlignment="1" applyProtection="1">
      <alignment horizontal="right"/>
      <protection locked="0"/>
    </xf>
    <xf numFmtId="1" fontId="10" fillId="3" borderId="14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10" fillId="4" borderId="15" xfId="0" applyFont="1" applyFill="1" applyBorder="1" applyAlignment="1" applyProtection="1">
      <alignment/>
      <protection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17" fillId="2" borderId="0" xfId="0" applyFont="1" applyAlignment="1">
      <alignment/>
    </xf>
    <xf numFmtId="1" fontId="1" fillId="5" borderId="14" xfId="0" applyNumberFormat="1" applyFont="1" applyFill="1" applyBorder="1" applyAlignment="1" applyProtection="1">
      <alignment horizontal="center"/>
      <protection hidden="1"/>
    </xf>
    <xf numFmtId="1" fontId="18" fillId="5" borderId="18" xfId="0" applyNumberFormat="1" applyFont="1" applyFill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horizontal="left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20" fillId="2" borderId="0" xfId="0" applyFont="1" applyAlignment="1">
      <alignment/>
    </xf>
    <xf numFmtId="0" fontId="1" fillId="4" borderId="2" xfId="0" applyFont="1" applyFill="1" applyBorder="1" applyAlignment="1">
      <alignment/>
    </xf>
    <xf numFmtId="0" fontId="9" fillId="2" borderId="21" xfId="0" applyFont="1" applyFill="1" applyBorder="1" applyAlignment="1" applyProtection="1">
      <alignment/>
      <protection/>
    </xf>
    <xf numFmtId="0" fontId="10" fillId="3" borderId="4" xfId="0" applyFont="1" applyFill="1" applyBorder="1" applyAlignment="1" applyProtection="1">
      <alignment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24" fillId="2" borderId="0" xfId="0" applyFont="1" applyAlignment="1">
      <alignment/>
    </xf>
    <xf numFmtId="0" fontId="0" fillId="2" borderId="0" xfId="0" applyAlignment="1" applyProtection="1">
      <alignment/>
      <protection hidden="1"/>
    </xf>
    <xf numFmtId="1" fontId="26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Alignment="1" applyProtection="1">
      <alignment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183" fontId="27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1" fontId="5" fillId="2" borderId="0" xfId="0" applyNumberFormat="1" applyFont="1" applyAlignment="1" applyProtection="1">
      <alignment/>
      <protection hidden="1"/>
    </xf>
    <xf numFmtId="15" fontId="0" fillId="2" borderId="0" xfId="0" applyNumberFormat="1" applyAlignment="1">
      <alignment/>
    </xf>
    <xf numFmtId="1" fontId="10" fillId="3" borderId="24" xfId="0" applyNumberFormat="1" applyFont="1" applyFill="1" applyBorder="1" applyAlignment="1" applyProtection="1">
      <alignment horizontal="right"/>
      <protection locked="0"/>
    </xf>
    <xf numFmtId="1" fontId="10" fillId="3" borderId="25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184" fontId="5" fillId="2" borderId="0" xfId="0" applyNumberFormat="1" applyFont="1" applyAlignment="1" applyProtection="1">
      <alignment/>
      <protection hidden="1"/>
    </xf>
    <xf numFmtId="2" fontId="5" fillId="2" borderId="0" xfId="0" applyNumberFormat="1" applyFont="1" applyAlignment="1" applyProtection="1">
      <alignment/>
      <protection hidden="1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3" borderId="28" xfId="0" applyFont="1" applyFill="1" applyBorder="1" applyAlignment="1" applyProtection="1">
      <alignment/>
      <protection locked="0"/>
    </xf>
    <xf numFmtId="195" fontId="10" fillId="3" borderId="29" xfId="0" applyNumberFormat="1" applyFont="1" applyFill="1" applyBorder="1" applyAlignment="1" applyProtection="1">
      <alignment horizontal="center"/>
      <protection locked="0"/>
    </xf>
    <xf numFmtId="195" fontId="10" fillId="3" borderId="1" xfId="0" applyNumberFormat="1" applyFont="1" applyFill="1" applyBorder="1" applyAlignment="1" applyProtection="1">
      <alignment horizontal="center"/>
      <protection locked="0"/>
    </xf>
    <xf numFmtId="195" fontId="10" fillId="3" borderId="5" xfId="0" applyNumberFormat="1" applyFont="1" applyFill="1" applyBorder="1" applyAlignment="1" applyProtection="1">
      <alignment horizontal="center"/>
      <protection locked="0"/>
    </xf>
    <xf numFmtId="1" fontId="11" fillId="2" borderId="0" xfId="0" applyNumberFormat="1" applyFont="1" applyFill="1" applyBorder="1" applyAlignment="1">
      <alignment horizontal="center"/>
    </xf>
    <xf numFmtId="0" fontId="22" fillId="6" borderId="30" xfId="0" applyFont="1" applyFill="1" applyBorder="1" applyAlignment="1">
      <alignment/>
    </xf>
    <xf numFmtId="0" fontId="11" fillId="6" borderId="31" xfId="0" applyFont="1" applyFill="1" applyBorder="1" applyAlignment="1" applyProtection="1">
      <alignment horizontal="center"/>
      <protection/>
    </xf>
    <xf numFmtId="0" fontId="0" fillId="6" borderId="0" xfId="0" applyFill="1" applyAlignment="1">
      <alignment/>
    </xf>
    <xf numFmtId="1" fontId="10" fillId="3" borderId="20" xfId="0" applyNumberFormat="1" applyFont="1" applyFill="1" applyBorder="1" applyAlignment="1" applyProtection="1">
      <alignment horizontal="center"/>
      <protection locked="0"/>
    </xf>
    <xf numFmtId="1" fontId="10" fillId="3" borderId="32" xfId="0" applyNumberFormat="1" applyFont="1" applyFill="1" applyBorder="1" applyAlignment="1" applyProtection="1">
      <alignment horizontal="center"/>
      <protection locked="0"/>
    </xf>
    <xf numFmtId="1" fontId="10" fillId="3" borderId="33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0" fillId="4" borderId="2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11" fillId="5" borderId="17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1" fillId="4" borderId="15" xfId="0" applyFont="1" applyFill="1" applyBorder="1" applyAlignment="1" applyProtection="1">
      <alignment/>
      <protection/>
    </xf>
    <xf numFmtId="0" fontId="10" fillId="5" borderId="34" xfId="0" applyFont="1" applyFill="1" applyBorder="1" applyAlignment="1">
      <alignment/>
    </xf>
    <xf numFmtId="0" fontId="10" fillId="5" borderId="35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1" fontId="11" fillId="6" borderId="31" xfId="0" applyNumberFormat="1" applyFont="1" applyFill="1" applyBorder="1" applyAlignment="1" applyProtection="1">
      <alignment horizontal="center"/>
      <protection/>
    </xf>
    <xf numFmtId="2" fontId="10" fillId="3" borderId="3" xfId="0" applyNumberFormat="1" applyFont="1" applyFill="1" applyBorder="1" applyAlignment="1" applyProtection="1">
      <alignment/>
      <protection locked="0"/>
    </xf>
    <xf numFmtId="2" fontId="10" fillId="3" borderId="13" xfId="0" applyNumberFormat="1" applyFont="1" applyFill="1" applyBorder="1" applyAlignment="1" applyProtection="1">
      <alignment/>
      <protection locked="0"/>
    </xf>
    <xf numFmtId="0" fontId="10" fillId="3" borderId="34" xfId="0" applyFont="1" applyFill="1" applyBorder="1" applyAlignment="1" applyProtection="1">
      <alignment/>
      <protection locked="0"/>
    </xf>
    <xf numFmtId="0" fontId="10" fillId="3" borderId="36" xfId="0" applyFont="1" applyFill="1" applyBorder="1" applyAlignment="1" applyProtection="1">
      <alignment/>
      <protection locked="0"/>
    </xf>
    <xf numFmtId="0" fontId="10" fillId="3" borderId="37" xfId="0" applyFont="1" applyFill="1" applyBorder="1" applyAlignment="1" applyProtection="1">
      <alignment horizontal="right"/>
      <protection locked="0"/>
    </xf>
    <xf numFmtId="0" fontId="10" fillId="3" borderId="38" xfId="0" applyFont="1" applyFill="1" applyBorder="1" applyAlignment="1" applyProtection="1">
      <alignment horizontal="right"/>
      <protection locked="0"/>
    </xf>
    <xf numFmtId="0" fontId="10" fillId="3" borderId="39" xfId="0" applyFont="1" applyFill="1" applyBorder="1" applyAlignment="1" applyProtection="1">
      <alignment/>
      <protection locked="0"/>
    </xf>
    <xf numFmtId="0" fontId="10" fillId="3" borderId="40" xfId="0" applyFont="1" applyFill="1" applyBorder="1" applyAlignment="1" applyProtection="1">
      <alignment horizontal="right"/>
      <protection locked="0"/>
    </xf>
    <xf numFmtId="183" fontId="10" fillId="2" borderId="41" xfId="0" applyNumberFormat="1" applyFont="1" applyBorder="1" applyAlignment="1" applyProtection="1">
      <alignment/>
      <protection locked="0"/>
    </xf>
    <xf numFmtId="183" fontId="10" fillId="2" borderId="29" xfId="0" applyNumberFormat="1" applyFont="1" applyBorder="1" applyAlignment="1" applyProtection="1">
      <alignment/>
      <protection locked="0"/>
    </xf>
    <xf numFmtId="183" fontId="10" fillId="2" borderId="42" xfId="0" applyNumberFormat="1" applyFont="1" applyBorder="1" applyAlignment="1" applyProtection="1">
      <alignment/>
      <protection locked="0"/>
    </xf>
    <xf numFmtId="183" fontId="10" fillId="2" borderId="1" xfId="0" applyNumberFormat="1" applyFont="1" applyBorder="1" applyAlignment="1" applyProtection="1">
      <alignment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/>
      <protection locked="0"/>
    </xf>
    <xf numFmtId="0" fontId="10" fillId="3" borderId="28" xfId="0" applyFont="1" applyFill="1" applyBorder="1" applyAlignment="1" applyProtection="1">
      <alignment horizontal="left"/>
      <protection locked="0"/>
    </xf>
    <xf numFmtId="0" fontId="10" fillId="3" borderId="43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left"/>
      <protection locked="0"/>
    </xf>
    <xf numFmtId="0" fontId="10" fillId="3" borderId="33" xfId="0" applyFont="1" applyFill="1" applyBorder="1" applyAlignment="1" applyProtection="1">
      <alignment horizontal="left"/>
      <protection locked="0"/>
    </xf>
    <xf numFmtId="0" fontId="0" fillId="5" borderId="2" xfId="0" applyFont="1" applyFill="1" applyBorder="1" applyAlignment="1">
      <alignment/>
    </xf>
    <xf numFmtId="0" fontId="0" fillId="3" borderId="15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9" fillId="3" borderId="15" xfId="0" applyFont="1" applyFill="1" applyBorder="1" applyAlignment="1" applyProtection="1">
      <alignment/>
      <protection locked="0"/>
    </xf>
    <xf numFmtId="0" fontId="11" fillId="5" borderId="37" xfId="0" applyFont="1" applyFill="1" applyBorder="1" applyAlignment="1" applyProtection="1">
      <alignment/>
      <protection hidden="1"/>
    </xf>
    <xf numFmtId="2" fontId="1" fillId="7" borderId="12" xfId="0" applyNumberFormat="1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0" fontId="11" fillId="5" borderId="44" xfId="0" applyFont="1" applyFill="1" applyBorder="1" applyAlignment="1" applyProtection="1">
      <alignment/>
      <protection hidden="1"/>
    </xf>
    <xf numFmtId="0" fontId="11" fillId="5" borderId="45" xfId="0" applyFont="1" applyFill="1" applyBorder="1" applyAlignment="1" applyProtection="1">
      <alignment/>
      <protection hidden="1"/>
    </xf>
    <xf numFmtId="0" fontId="12" fillId="4" borderId="46" xfId="0" applyFont="1" applyFill="1" applyBorder="1" applyAlignment="1" applyProtection="1">
      <alignment/>
      <protection hidden="1"/>
    </xf>
    <xf numFmtId="0" fontId="1" fillId="4" borderId="46" xfId="0" applyFont="1" applyFill="1" applyBorder="1" applyAlignment="1" applyProtection="1">
      <alignment/>
      <protection hidden="1"/>
    </xf>
    <xf numFmtId="0" fontId="11" fillId="5" borderId="47" xfId="0" applyFont="1" applyFill="1" applyBorder="1" applyAlignment="1" applyProtection="1">
      <alignment horizontal="left"/>
      <protection hidden="1"/>
    </xf>
    <xf numFmtId="0" fontId="11" fillId="5" borderId="47" xfId="0" applyFont="1" applyFill="1" applyBorder="1" applyAlignment="1" applyProtection="1">
      <alignment/>
      <protection hidden="1"/>
    </xf>
    <xf numFmtId="0" fontId="11" fillId="5" borderId="19" xfId="0" applyFont="1" applyFill="1" applyBorder="1" applyAlignment="1" applyProtection="1">
      <alignment horizontal="left"/>
      <protection hidden="1"/>
    </xf>
    <xf numFmtId="0" fontId="11" fillId="5" borderId="33" xfId="0" applyFont="1" applyFill="1" applyBorder="1" applyAlignment="1" applyProtection="1">
      <alignment horizontal="left"/>
      <protection hidden="1"/>
    </xf>
    <xf numFmtId="0" fontId="11" fillId="5" borderId="48" xfId="0" applyFont="1" applyFill="1" applyBorder="1" applyAlignment="1" applyProtection="1">
      <alignment/>
      <protection hidden="1"/>
    </xf>
    <xf numFmtId="0" fontId="11" fillId="5" borderId="13" xfId="0" applyFont="1" applyFill="1" applyBorder="1" applyAlignment="1" applyProtection="1">
      <alignment/>
      <protection hidden="1"/>
    </xf>
    <xf numFmtId="0" fontId="11" fillId="5" borderId="46" xfId="0" applyFont="1" applyFill="1" applyBorder="1" applyAlignment="1" applyProtection="1">
      <alignment/>
      <protection hidden="1"/>
    </xf>
    <xf numFmtId="0" fontId="11" fillId="4" borderId="46" xfId="0" applyFont="1" applyFill="1" applyBorder="1" applyAlignment="1" applyProtection="1">
      <alignment/>
      <protection hidden="1"/>
    </xf>
    <xf numFmtId="0" fontId="11" fillId="5" borderId="49" xfId="0" applyFont="1" applyFill="1" applyBorder="1" applyAlignment="1" applyProtection="1">
      <alignment/>
      <protection hidden="1"/>
    </xf>
    <xf numFmtId="0" fontId="11" fillId="8" borderId="37" xfId="0" applyFont="1" applyFill="1" applyBorder="1" applyAlignment="1" applyProtection="1">
      <alignment/>
      <protection hidden="1"/>
    </xf>
    <xf numFmtId="0" fontId="11" fillId="8" borderId="38" xfId="0" applyFont="1" applyFill="1" applyBorder="1" applyAlignment="1" applyProtection="1">
      <alignment/>
      <protection hidden="1"/>
    </xf>
    <xf numFmtId="0" fontId="11" fillId="8" borderId="50" xfId="0" applyFont="1" applyFill="1" applyBorder="1" applyAlignment="1" applyProtection="1">
      <alignment/>
      <protection hidden="1"/>
    </xf>
    <xf numFmtId="0" fontId="11" fillId="5" borderId="51" xfId="0" applyFont="1" applyFill="1" applyBorder="1" applyAlignment="1" applyProtection="1">
      <alignment/>
      <protection hidden="1"/>
    </xf>
    <xf numFmtId="0" fontId="16" fillId="4" borderId="46" xfId="0" applyFont="1" applyFill="1" applyBorder="1" applyAlignment="1" applyProtection="1">
      <alignment/>
      <protection hidden="1"/>
    </xf>
    <xf numFmtId="0" fontId="10" fillId="4" borderId="15" xfId="0" applyFont="1" applyFill="1" applyBorder="1" applyAlignment="1" applyProtection="1">
      <alignment/>
      <protection hidden="1"/>
    </xf>
    <xf numFmtId="0" fontId="16" fillId="4" borderId="15" xfId="0" applyFon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11" fillId="4" borderId="37" xfId="0" applyFont="1" applyFill="1" applyBorder="1" applyAlignment="1" applyProtection="1">
      <alignment/>
      <protection hidden="1"/>
    </xf>
    <xf numFmtId="0" fontId="9" fillId="4" borderId="52" xfId="0" applyFont="1" applyFill="1" applyBorder="1" applyAlignment="1" applyProtection="1">
      <alignment/>
      <protection hidden="1"/>
    </xf>
    <xf numFmtId="0" fontId="11" fillId="5" borderId="24" xfId="0" applyFont="1" applyFill="1" applyBorder="1" applyAlignment="1" applyProtection="1">
      <alignment horizontal="center"/>
      <protection hidden="1"/>
    </xf>
    <xf numFmtId="0" fontId="11" fillId="5" borderId="4" xfId="0" applyFont="1" applyFill="1" applyBorder="1" applyAlignment="1" applyProtection="1">
      <alignment horizontal="center"/>
      <protection hidden="1"/>
    </xf>
    <xf numFmtId="0" fontId="11" fillId="5" borderId="22" xfId="0" applyFont="1" applyFill="1" applyBorder="1" applyAlignment="1" applyProtection="1">
      <alignment horizontal="center"/>
      <protection hidden="1"/>
    </xf>
    <xf numFmtId="0" fontId="11" fillId="5" borderId="23" xfId="0" applyFont="1" applyFill="1" applyBorder="1" applyAlignment="1" applyProtection="1">
      <alignment horizontal="center"/>
      <protection hidden="1"/>
    </xf>
    <xf numFmtId="0" fontId="11" fillId="4" borderId="48" xfId="0" applyFon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/>
      <protection hidden="1"/>
    </xf>
    <xf numFmtId="0" fontId="11" fillId="4" borderId="16" xfId="0" applyFont="1" applyFill="1" applyBorder="1" applyAlignment="1" applyProtection="1">
      <alignment horizontal="center"/>
      <protection hidden="1"/>
    </xf>
    <xf numFmtId="0" fontId="11" fillId="4" borderId="53" xfId="0" applyFont="1" applyFill="1" applyBorder="1" applyAlignment="1" applyProtection="1">
      <alignment horizontal="left"/>
      <protection hidden="1"/>
    </xf>
    <xf numFmtId="0" fontId="0" fillId="4" borderId="54" xfId="0" applyFill="1" applyBorder="1" applyAlignment="1" applyProtection="1">
      <alignment horizontal="left"/>
      <protection hidden="1"/>
    </xf>
    <xf numFmtId="0" fontId="11" fillId="4" borderId="21" xfId="0" applyFont="1" applyFill="1" applyBorder="1" applyAlignment="1" applyProtection="1">
      <alignment horizontal="center"/>
      <protection hidden="1"/>
    </xf>
    <xf numFmtId="0" fontId="11" fillId="4" borderId="55" xfId="0" applyFont="1" applyFill="1" applyBorder="1" applyAlignment="1" applyProtection="1">
      <alignment horizontal="center"/>
      <protection hidden="1"/>
    </xf>
    <xf numFmtId="183" fontId="11" fillId="4" borderId="21" xfId="0" applyNumberFormat="1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Alignment="1" applyProtection="1">
      <alignment horizontal="center"/>
      <protection hidden="1"/>
    </xf>
    <xf numFmtId="0" fontId="11" fillId="5" borderId="51" xfId="0" applyFont="1" applyFill="1" applyBorder="1" applyAlignment="1" applyProtection="1">
      <alignment horizontal="center"/>
      <protection hidden="1"/>
    </xf>
    <xf numFmtId="0" fontId="11" fillId="5" borderId="56" xfId="0" applyFont="1" applyFill="1" applyBorder="1" applyAlignment="1" applyProtection="1">
      <alignment horizontal="center"/>
      <protection hidden="1"/>
    </xf>
    <xf numFmtId="0" fontId="11" fillId="5" borderId="5" xfId="0" applyFont="1" applyFill="1" applyBorder="1" applyAlignment="1" applyProtection="1">
      <alignment horizontal="center"/>
      <protection hidden="1"/>
    </xf>
    <xf numFmtId="0" fontId="11" fillId="5" borderId="57" xfId="0" applyFont="1" applyFill="1" applyBorder="1" applyAlignment="1" applyProtection="1">
      <alignment horizontal="center"/>
      <protection hidden="1"/>
    </xf>
    <xf numFmtId="0" fontId="11" fillId="5" borderId="58" xfId="0" applyFont="1" applyFill="1" applyBorder="1" applyAlignment="1" applyProtection="1">
      <alignment horizontal="center"/>
      <protection hidden="1"/>
    </xf>
    <xf numFmtId="183" fontId="11" fillId="5" borderId="56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25" xfId="0" applyFont="1" applyFill="1" applyBorder="1" applyAlignment="1" applyProtection="1">
      <alignment horizontal="center"/>
      <protection hidden="1"/>
    </xf>
    <xf numFmtId="1" fontId="21" fillId="5" borderId="29" xfId="0" applyNumberFormat="1" applyFont="1" applyFill="1" applyBorder="1" applyAlignment="1" applyProtection="1">
      <alignment horizontal="center"/>
      <protection hidden="1"/>
    </xf>
    <xf numFmtId="1" fontId="10" fillId="5" borderId="29" xfId="0" applyNumberFormat="1" applyFont="1" applyFill="1" applyBorder="1" applyAlignment="1" applyProtection="1">
      <alignment horizontal="center"/>
      <protection hidden="1"/>
    </xf>
    <xf numFmtId="2" fontId="21" fillId="5" borderId="59" xfId="0" applyNumberFormat="1" applyFont="1" applyFill="1" applyBorder="1" applyAlignment="1" applyProtection="1">
      <alignment horizontal="center"/>
      <protection hidden="1"/>
    </xf>
    <xf numFmtId="183" fontId="21" fillId="5" borderId="0" xfId="0" applyNumberFormat="1" applyFont="1" applyFill="1" applyBorder="1" applyAlignment="1" applyProtection="1">
      <alignment horizontal="center"/>
      <protection hidden="1"/>
    </xf>
    <xf numFmtId="2" fontId="25" fillId="5" borderId="60" xfId="0" applyNumberFormat="1" applyFont="1" applyFill="1" applyBorder="1" applyAlignment="1" applyProtection="1">
      <alignment horizontal="center"/>
      <protection hidden="1"/>
    </xf>
    <xf numFmtId="1" fontId="21" fillId="5" borderId="1" xfId="0" applyNumberFormat="1" applyFont="1" applyFill="1" applyBorder="1" applyAlignment="1" applyProtection="1">
      <alignment horizontal="center"/>
      <protection hidden="1"/>
    </xf>
    <xf numFmtId="1" fontId="10" fillId="5" borderId="1" xfId="0" applyNumberFormat="1" applyFont="1" applyFill="1" applyBorder="1" applyAlignment="1" applyProtection="1">
      <alignment horizontal="center"/>
      <protection hidden="1"/>
    </xf>
    <xf numFmtId="2" fontId="21" fillId="5" borderId="18" xfId="0" applyNumberFormat="1" applyFont="1" applyFill="1" applyBorder="1" applyAlignment="1" applyProtection="1">
      <alignment horizontal="center"/>
      <protection hidden="1"/>
    </xf>
    <xf numFmtId="183" fontId="21" fillId="5" borderId="61" xfId="0" applyNumberFormat="1" applyFont="1" applyFill="1" applyBorder="1" applyAlignment="1" applyProtection="1">
      <alignment horizontal="center"/>
      <protection hidden="1"/>
    </xf>
    <xf numFmtId="1" fontId="21" fillId="5" borderId="5" xfId="0" applyNumberFormat="1" applyFont="1" applyFill="1" applyBorder="1" applyAlignment="1" applyProtection="1">
      <alignment horizontal="center"/>
      <protection hidden="1"/>
    </xf>
    <xf numFmtId="2" fontId="21" fillId="5" borderId="25" xfId="0" applyNumberFormat="1" applyFont="1" applyFill="1" applyBorder="1" applyAlignment="1" applyProtection="1">
      <alignment horizontal="center"/>
      <protection hidden="1"/>
    </xf>
    <xf numFmtId="183" fontId="21" fillId="5" borderId="62" xfId="0" applyNumberFormat="1" applyFont="1" applyFill="1" applyBorder="1" applyAlignment="1" applyProtection="1">
      <alignment horizontal="center"/>
      <protection hidden="1"/>
    </xf>
    <xf numFmtId="0" fontId="21" fillId="6" borderId="38" xfId="0" applyFont="1" applyFill="1" applyBorder="1" applyAlignment="1" applyProtection="1">
      <alignment horizontal="center"/>
      <protection hidden="1"/>
    </xf>
    <xf numFmtId="183" fontId="21" fillId="6" borderId="10" xfId="0" applyNumberFormat="1" applyFont="1" applyFill="1" applyBorder="1" applyAlignment="1" applyProtection="1">
      <alignment horizontal="center"/>
      <protection hidden="1"/>
    </xf>
    <xf numFmtId="183" fontId="21" fillId="6" borderId="11" xfId="0" applyNumberFormat="1" applyFont="1" applyFill="1" applyBorder="1" applyAlignment="1" applyProtection="1">
      <alignment horizontal="center"/>
      <protection hidden="1"/>
    </xf>
    <xf numFmtId="183" fontId="21" fillId="6" borderId="27" xfId="0" applyNumberFormat="1" applyFont="1" applyFill="1" applyBorder="1" applyAlignment="1" applyProtection="1">
      <alignment horizontal="center"/>
      <protection hidden="1"/>
    </xf>
    <xf numFmtId="0" fontId="11" fillId="5" borderId="7" xfId="0" applyFont="1" applyFill="1" applyBorder="1" applyAlignment="1" applyProtection="1">
      <alignment horizontal="center"/>
      <protection hidden="1"/>
    </xf>
    <xf numFmtId="0" fontId="11" fillId="5" borderId="46" xfId="0" applyFont="1" applyFill="1" applyBorder="1" applyAlignment="1" applyProtection="1">
      <alignment horizontal="center"/>
      <protection hidden="1"/>
    </xf>
    <xf numFmtId="195" fontId="21" fillId="6" borderId="63" xfId="0" applyNumberFormat="1" applyFont="1" applyFill="1" applyBorder="1" applyAlignment="1" applyProtection="1">
      <alignment horizontal="center"/>
      <protection hidden="1"/>
    </xf>
    <xf numFmtId="0" fontId="11" fillId="6" borderId="64" xfId="0" applyFont="1" applyFill="1" applyBorder="1" applyAlignment="1" applyProtection="1">
      <alignment horizontal="left"/>
      <protection hidden="1"/>
    </xf>
    <xf numFmtId="0" fontId="11" fillId="6" borderId="65" xfId="0" applyFont="1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/>
      <protection hidden="1"/>
    </xf>
    <xf numFmtId="0" fontId="22" fillId="6" borderId="2" xfId="0" applyFont="1" applyFill="1" applyBorder="1" applyAlignment="1" applyProtection="1">
      <alignment/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11" fillId="4" borderId="22" xfId="0" applyFont="1" applyFill="1" applyBorder="1" applyAlignment="1" applyProtection="1">
      <alignment horizontal="center"/>
      <protection hidden="1"/>
    </xf>
    <xf numFmtId="0" fontId="11" fillId="4" borderId="23" xfId="0" applyFont="1" applyFill="1" applyBorder="1" applyAlignment="1" applyProtection="1">
      <alignment horizontal="center"/>
      <protection hidden="1"/>
    </xf>
    <xf numFmtId="0" fontId="11" fillId="6" borderId="66" xfId="0" applyFont="1" applyFill="1" applyBorder="1" applyAlignment="1" applyProtection="1">
      <alignment horizontal="center"/>
      <protection hidden="1"/>
    </xf>
    <xf numFmtId="1" fontId="11" fillId="6" borderId="23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9" fillId="4" borderId="21" xfId="0" applyFont="1" applyFill="1" applyBorder="1" applyAlignment="1" applyProtection="1">
      <alignment/>
      <protection hidden="1"/>
    </xf>
    <xf numFmtId="0" fontId="11" fillId="4" borderId="21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183" fontId="11" fillId="4" borderId="48" xfId="0" applyNumberFormat="1" applyFont="1" applyFill="1" applyBorder="1" applyAlignment="1" applyProtection="1">
      <alignment horizontal="center"/>
      <protection hidden="1"/>
    </xf>
    <xf numFmtId="0" fontId="11" fillId="4" borderId="44" xfId="0" applyFont="1" applyFill="1" applyBorder="1" applyAlignment="1" applyProtection="1">
      <alignment horizontal="center"/>
      <protection hidden="1"/>
    </xf>
    <xf numFmtId="0" fontId="11" fillId="4" borderId="56" xfId="0" applyFont="1" applyFill="1" applyBorder="1" applyAlignment="1" applyProtection="1">
      <alignment horizontal="center"/>
      <protection hidden="1"/>
    </xf>
    <xf numFmtId="183" fontId="11" fillId="4" borderId="51" xfId="0" applyNumberFormat="1" applyFont="1" applyFill="1" applyBorder="1" applyAlignment="1" applyProtection="1">
      <alignment horizontal="center"/>
      <protection hidden="1"/>
    </xf>
    <xf numFmtId="0" fontId="11" fillId="4" borderId="51" xfId="0" applyFont="1" applyFill="1" applyBorder="1" applyAlignment="1" applyProtection="1">
      <alignment horizontal="center"/>
      <protection hidden="1"/>
    </xf>
    <xf numFmtId="0" fontId="11" fillId="4" borderId="49" xfId="0" applyFont="1" applyFill="1" applyBorder="1" applyAlignment="1" applyProtection="1">
      <alignment horizontal="center"/>
      <protection hidden="1"/>
    </xf>
    <xf numFmtId="1" fontId="10" fillId="5" borderId="16" xfId="0" applyNumberFormat="1" applyFont="1" applyFill="1" applyBorder="1" applyAlignment="1" applyProtection="1">
      <alignment horizontal="center"/>
      <protection hidden="1"/>
    </xf>
    <xf numFmtId="1" fontId="21" fillId="5" borderId="16" xfId="0" applyNumberFormat="1" applyFont="1" applyFill="1" applyBorder="1" applyAlignment="1" applyProtection="1">
      <alignment horizontal="center"/>
      <protection hidden="1"/>
    </xf>
    <xf numFmtId="1" fontId="10" fillId="5" borderId="17" xfId="0" applyNumberFormat="1" applyFont="1" applyFill="1" applyBorder="1" applyAlignment="1" applyProtection="1">
      <alignment horizontal="center"/>
      <protection hidden="1"/>
    </xf>
    <xf numFmtId="2" fontId="21" fillId="5" borderId="53" xfId="0" applyNumberFormat="1" applyFont="1" applyFill="1" applyBorder="1" applyAlignment="1" applyProtection="1">
      <alignment horizontal="center"/>
      <protection hidden="1"/>
    </xf>
    <xf numFmtId="183" fontId="21" fillId="5" borderId="48" xfId="0" applyNumberFormat="1" applyFont="1" applyFill="1" applyBorder="1" applyAlignment="1" applyProtection="1">
      <alignment horizontal="center"/>
      <protection hidden="1"/>
    </xf>
    <xf numFmtId="2" fontId="25" fillId="5" borderId="37" xfId="0" applyNumberFormat="1" applyFont="1" applyFill="1" applyBorder="1" applyAlignment="1" applyProtection="1">
      <alignment horizontal="center"/>
      <protection hidden="1"/>
    </xf>
    <xf numFmtId="1" fontId="10" fillId="5" borderId="10" xfId="0" applyNumberFormat="1" applyFont="1" applyFill="1" applyBorder="1" applyAlignment="1" applyProtection="1">
      <alignment horizontal="center"/>
      <protection hidden="1"/>
    </xf>
    <xf numFmtId="2" fontId="21" fillId="5" borderId="10" xfId="0" applyNumberFormat="1" applyFont="1" applyFill="1" applyBorder="1" applyAlignment="1" applyProtection="1">
      <alignment horizontal="center"/>
      <protection hidden="1"/>
    </xf>
    <xf numFmtId="183" fontId="21" fillId="5" borderId="38" xfId="0" applyNumberFormat="1" applyFont="1" applyFill="1" applyBorder="1" applyAlignment="1" applyProtection="1">
      <alignment horizontal="center"/>
      <protection hidden="1"/>
    </xf>
    <xf numFmtId="2" fontId="25" fillId="5" borderId="38" xfId="0" applyNumberFormat="1" applyFont="1" applyFill="1" applyBorder="1" applyAlignment="1" applyProtection="1">
      <alignment horizontal="center"/>
      <protection hidden="1"/>
    </xf>
    <xf numFmtId="183" fontId="21" fillId="5" borderId="47" xfId="0" applyNumberFormat="1" applyFont="1" applyFill="1" applyBorder="1" applyAlignment="1" applyProtection="1">
      <alignment horizontal="center"/>
      <protection hidden="1"/>
    </xf>
    <xf numFmtId="1" fontId="10" fillId="5" borderId="41" xfId="0" applyNumberFormat="1" applyFont="1" applyFill="1" applyBorder="1" applyAlignment="1" applyProtection="1">
      <alignment horizontal="center"/>
      <protection hidden="1"/>
    </xf>
    <xf numFmtId="1" fontId="10" fillId="5" borderId="9" xfId="0" applyNumberFormat="1" applyFont="1" applyFill="1" applyBorder="1" applyAlignment="1" applyProtection="1">
      <alignment horizontal="center"/>
      <protection hidden="1"/>
    </xf>
    <xf numFmtId="1" fontId="21" fillId="5" borderId="9" xfId="0" applyNumberFormat="1" applyFont="1" applyFill="1" applyBorder="1" applyAlignment="1" applyProtection="1">
      <alignment horizontal="center"/>
      <protection hidden="1"/>
    </xf>
    <xf numFmtId="1" fontId="10" fillId="5" borderId="43" xfId="0" applyNumberFormat="1" applyFont="1" applyFill="1" applyBorder="1" applyAlignment="1" applyProtection="1">
      <alignment horizontal="center"/>
      <protection hidden="1"/>
    </xf>
    <xf numFmtId="2" fontId="21" fillId="5" borderId="43" xfId="0" applyNumberFormat="1" applyFont="1" applyFill="1" applyBorder="1" applyAlignment="1" applyProtection="1">
      <alignment horizontal="center"/>
      <protection hidden="1"/>
    </xf>
    <xf numFmtId="183" fontId="21" fillId="5" borderId="50" xfId="0" applyNumberFormat="1" applyFont="1" applyFill="1" applyBorder="1" applyAlignment="1" applyProtection="1">
      <alignment horizontal="center"/>
      <protection hidden="1"/>
    </xf>
    <xf numFmtId="183" fontId="21" fillId="5" borderId="3" xfId="0" applyNumberFormat="1" applyFont="1" applyFill="1" applyBorder="1" applyAlignment="1" applyProtection="1">
      <alignment horizontal="center"/>
      <protection hidden="1"/>
    </xf>
    <xf numFmtId="1" fontId="10" fillId="5" borderId="5" xfId="0" applyNumberFormat="1" applyFont="1" applyFill="1" applyBorder="1" applyAlignment="1" applyProtection="1">
      <alignment horizontal="center"/>
      <protection hidden="1"/>
    </xf>
    <xf numFmtId="1" fontId="10" fillId="5" borderId="11" xfId="0" applyNumberFormat="1" applyFont="1" applyFill="1" applyBorder="1" applyAlignment="1" applyProtection="1">
      <alignment horizontal="center"/>
      <protection hidden="1"/>
    </xf>
    <xf numFmtId="2" fontId="21" fillId="5" borderId="11" xfId="0" applyNumberFormat="1" applyFont="1" applyFill="1" applyBorder="1" applyAlignment="1" applyProtection="1">
      <alignment horizontal="center"/>
      <protection hidden="1"/>
    </xf>
    <xf numFmtId="183" fontId="21" fillId="5" borderId="14" xfId="0" applyNumberFormat="1" applyFont="1" applyFill="1" applyBorder="1" applyAlignment="1" applyProtection="1">
      <alignment horizontal="center"/>
      <protection hidden="1"/>
    </xf>
    <xf numFmtId="2" fontId="25" fillId="5" borderId="14" xfId="0" applyNumberFormat="1" applyFont="1" applyFill="1" applyBorder="1" applyAlignment="1" applyProtection="1">
      <alignment horizontal="center"/>
      <protection hidden="1"/>
    </xf>
    <xf numFmtId="0" fontId="21" fillId="6" borderId="3" xfId="0" applyFont="1" applyFill="1" applyBorder="1" applyAlignment="1" applyProtection="1">
      <alignment horizontal="center"/>
      <protection hidden="1"/>
    </xf>
    <xf numFmtId="0" fontId="21" fillId="6" borderId="13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left"/>
      <protection hidden="1"/>
    </xf>
    <xf numFmtId="2" fontId="7" fillId="4" borderId="24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center"/>
      <protection hidden="1"/>
    </xf>
    <xf numFmtId="0" fontId="11" fillId="4" borderId="17" xfId="0" applyFont="1" applyFill="1" applyBorder="1" applyAlignment="1" applyProtection="1">
      <alignment horizontal="center"/>
      <protection hidden="1"/>
    </xf>
    <xf numFmtId="2" fontId="7" fillId="4" borderId="16" xfId="0" applyNumberFormat="1" applyFont="1" applyFill="1" applyBorder="1" applyAlignment="1" applyProtection="1">
      <alignment horizontal="center"/>
      <protection hidden="1" locked="0"/>
    </xf>
    <xf numFmtId="180" fontId="11" fillId="4" borderId="24" xfId="0" applyNumberFormat="1" applyFont="1" applyFill="1" applyBorder="1" applyAlignment="1" applyProtection="1">
      <alignment horizontal="center"/>
      <protection hidden="1"/>
    </xf>
    <xf numFmtId="0" fontId="11" fillId="4" borderId="32" xfId="0" applyFont="1" applyFill="1" applyBorder="1" applyAlignment="1" applyProtection="1">
      <alignment horizontal="left"/>
      <protection hidden="1"/>
    </xf>
    <xf numFmtId="2" fontId="7" fillId="4" borderId="18" xfId="0" applyNumberFormat="1" applyFont="1" applyFill="1" applyBorder="1" applyAlignment="1" applyProtection="1">
      <alignment horizontal="center"/>
      <protection hidden="1"/>
    </xf>
    <xf numFmtId="0" fontId="11" fillId="4" borderId="14" xfId="0" applyFont="1" applyFill="1" applyBorder="1" applyAlignment="1" applyProtection="1">
      <alignment horizontal="center"/>
      <protection hidden="1"/>
    </xf>
    <xf numFmtId="0" fontId="11" fillId="4" borderId="68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178" fontId="11" fillId="4" borderId="33" xfId="0" applyNumberFormat="1" applyFont="1" applyFill="1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11" fillId="4" borderId="33" xfId="0" applyFont="1" applyFill="1" applyBorder="1" applyAlignment="1" applyProtection="1">
      <alignment horizontal="center"/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1" fontId="7" fillId="4" borderId="56" xfId="0" applyNumberFormat="1" applyFont="1" applyFill="1" applyBorder="1" applyAlignment="1" applyProtection="1">
      <alignment horizontal="center"/>
      <protection hidden="1"/>
    </xf>
    <xf numFmtId="180" fontId="11" fillId="2" borderId="69" xfId="0" applyNumberFormat="1" applyFont="1" applyFill="1" applyBorder="1" applyAlignment="1" applyProtection="1">
      <alignment/>
      <protection hidden="1"/>
    </xf>
    <xf numFmtId="0" fontId="10" fillId="2" borderId="41" xfId="0" applyFont="1" applyFill="1" applyBorder="1" applyAlignment="1" applyProtection="1">
      <alignment horizontal="center"/>
      <protection hidden="1"/>
    </xf>
    <xf numFmtId="0" fontId="11" fillId="2" borderId="27" xfId="0" applyFont="1" applyFill="1" applyBorder="1" applyAlignment="1" applyProtection="1">
      <alignment horizontal="center"/>
      <protection hidden="1"/>
    </xf>
    <xf numFmtId="2" fontId="11" fillId="2" borderId="29" xfId="0" applyNumberFormat="1" applyFont="1" applyFill="1" applyBorder="1" applyAlignment="1" applyProtection="1">
      <alignment horizontal="center"/>
      <protection hidden="1"/>
    </xf>
    <xf numFmtId="2" fontId="10" fillId="2" borderId="59" xfId="0" applyNumberFormat="1" applyFont="1" applyFill="1" applyBorder="1" applyAlignment="1" applyProtection="1">
      <alignment horizontal="center"/>
      <protection hidden="1"/>
    </xf>
    <xf numFmtId="183" fontId="10" fillId="2" borderId="70" xfId="0" applyNumberFormat="1" applyFont="1" applyFill="1" applyBorder="1" applyAlignment="1" applyProtection="1">
      <alignment horizontal="center"/>
      <protection hidden="1"/>
    </xf>
    <xf numFmtId="2" fontId="10" fillId="2" borderId="41" xfId="0" applyNumberFormat="1" applyFont="1" applyFill="1" applyBorder="1" applyAlignment="1" applyProtection="1">
      <alignment horizontal="center"/>
      <protection hidden="1"/>
    </xf>
    <xf numFmtId="1" fontId="10" fillId="2" borderId="59" xfId="0" applyNumberFormat="1" applyFont="1" applyFill="1" applyBorder="1" applyAlignment="1" applyProtection="1">
      <alignment horizontal="center"/>
      <protection hidden="1"/>
    </xf>
    <xf numFmtId="180" fontId="11" fillId="5" borderId="3" xfId="0" applyNumberFormat="1" applyFont="1" applyFill="1" applyBorder="1" applyAlignment="1" applyProtection="1">
      <alignment/>
      <protection hidden="1"/>
    </xf>
    <xf numFmtId="0" fontId="10" fillId="5" borderId="42" xfId="0" applyFont="1" applyFill="1" applyBorder="1" applyAlignment="1" applyProtection="1">
      <alignment horizontal="center"/>
      <protection hidden="1"/>
    </xf>
    <xf numFmtId="0" fontId="11" fillId="5" borderId="10" xfId="0" applyFont="1" applyFill="1" applyBorder="1" applyAlignment="1" applyProtection="1">
      <alignment horizontal="center"/>
      <protection hidden="1"/>
    </xf>
    <xf numFmtId="2" fontId="11" fillId="5" borderId="29" xfId="0" applyNumberFormat="1" applyFont="1" applyFill="1" applyBorder="1" applyAlignment="1" applyProtection="1">
      <alignment horizontal="center"/>
      <protection hidden="1"/>
    </xf>
    <xf numFmtId="2" fontId="10" fillId="5" borderId="18" xfId="0" applyNumberFormat="1" applyFont="1" applyFill="1" applyBorder="1" applyAlignment="1" applyProtection="1">
      <alignment horizontal="center"/>
      <protection hidden="1"/>
    </xf>
    <xf numFmtId="183" fontId="10" fillId="5" borderId="39" xfId="0" applyNumberFormat="1" applyFont="1" applyFill="1" applyBorder="1" applyAlignment="1" applyProtection="1">
      <alignment horizontal="center"/>
      <protection hidden="1"/>
    </xf>
    <xf numFmtId="2" fontId="10" fillId="5" borderId="41" xfId="0" applyNumberFormat="1" applyFont="1" applyFill="1" applyBorder="1" applyAlignment="1" applyProtection="1">
      <alignment horizontal="center"/>
      <protection hidden="1"/>
    </xf>
    <xf numFmtId="1" fontId="10" fillId="5" borderId="18" xfId="0" applyNumberFormat="1" applyFont="1" applyFill="1" applyBorder="1" applyAlignment="1" applyProtection="1">
      <alignment horizontal="center"/>
      <protection hidden="1"/>
    </xf>
    <xf numFmtId="180" fontId="11" fillId="2" borderId="3" xfId="0" applyNumberFormat="1" applyFont="1" applyFill="1" applyBorder="1" applyAlignment="1" applyProtection="1">
      <alignment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/>
      <protection hidden="1"/>
    </xf>
    <xf numFmtId="2" fontId="10" fillId="2" borderId="18" xfId="0" applyNumberFormat="1" applyFont="1" applyFill="1" applyBorder="1" applyAlignment="1" applyProtection="1">
      <alignment horizontal="center"/>
      <protection hidden="1"/>
    </xf>
    <xf numFmtId="183" fontId="10" fillId="2" borderId="39" xfId="0" applyNumberFormat="1" applyFont="1" applyFill="1" applyBorder="1" applyAlignment="1" applyProtection="1">
      <alignment horizontal="center"/>
      <protection hidden="1"/>
    </xf>
    <xf numFmtId="1" fontId="10" fillId="2" borderId="18" xfId="0" applyNumberFormat="1" applyFont="1" applyFill="1" applyBorder="1" applyAlignment="1" applyProtection="1">
      <alignment horizontal="center"/>
      <protection hidden="1"/>
    </xf>
    <xf numFmtId="180" fontId="11" fillId="2" borderId="14" xfId="0" applyNumberFormat="1" applyFont="1" applyFill="1" applyBorder="1" applyAlignment="1" applyProtection="1">
      <alignment/>
      <protection hidden="1"/>
    </xf>
    <xf numFmtId="0" fontId="10" fillId="2" borderId="68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2" fontId="10" fillId="2" borderId="25" xfId="0" applyNumberFormat="1" applyFont="1" applyFill="1" applyBorder="1" applyAlignment="1" applyProtection="1">
      <alignment horizontal="center"/>
      <protection hidden="1"/>
    </xf>
    <xf numFmtId="2" fontId="7" fillId="4" borderId="30" xfId="0" applyNumberFormat="1" applyFont="1" applyFill="1" applyBorder="1" applyAlignment="1" applyProtection="1">
      <alignment horizontal="center"/>
      <protection hidden="1"/>
    </xf>
    <xf numFmtId="0" fontId="11" fillId="4" borderId="35" xfId="0" applyFont="1" applyFill="1" applyBorder="1" applyAlignment="1" applyProtection="1">
      <alignment horizontal="center"/>
      <protection hidden="1"/>
    </xf>
    <xf numFmtId="0" fontId="11" fillId="5" borderId="19" xfId="0" applyFont="1" applyFill="1" applyBorder="1" applyAlignment="1" applyProtection="1">
      <alignment/>
      <protection hidden="1"/>
    </xf>
    <xf numFmtId="0" fontId="11" fillId="5" borderId="32" xfId="0" applyFont="1" applyFill="1" applyBorder="1" applyAlignment="1" applyProtection="1">
      <alignment/>
      <protection hidden="1"/>
    </xf>
    <xf numFmtId="0" fontId="11" fillId="5" borderId="33" xfId="0" applyFont="1" applyFill="1" applyBorder="1" applyAlignment="1" applyProtection="1">
      <alignment/>
      <protection hidden="1"/>
    </xf>
    <xf numFmtId="0" fontId="10" fillId="2" borderId="0" xfId="0" applyFont="1" applyAlignment="1" applyProtection="1">
      <alignment/>
      <protection hidden="1"/>
    </xf>
    <xf numFmtId="0" fontId="10" fillId="3" borderId="63" xfId="0" applyFont="1" applyFill="1" applyBorder="1" applyAlignment="1" applyProtection="1">
      <alignment/>
      <protection locked="0"/>
    </xf>
    <xf numFmtId="0" fontId="11" fillId="4" borderId="48" xfId="0" applyFont="1" applyFill="1" applyBorder="1" applyAlignment="1" applyProtection="1">
      <alignment/>
      <protection hidden="1"/>
    </xf>
    <xf numFmtId="0" fontId="11" fillId="4" borderId="63" xfId="0" applyFont="1" applyFill="1" applyBorder="1" applyAlignment="1" applyProtection="1">
      <alignment/>
      <protection hidden="1"/>
    </xf>
    <xf numFmtId="0" fontId="11" fillId="5" borderId="21" xfId="0" applyFont="1" applyFill="1" applyBorder="1" applyAlignment="1" applyProtection="1">
      <alignment/>
      <protection hidden="1"/>
    </xf>
    <xf numFmtId="0" fontId="11" fillId="5" borderId="30" xfId="0" applyFont="1" applyFill="1" applyBorder="1" applyAlignment="1" applyProtection="1">
      <alignment/>
      <protection hidden="1"/>
    </xf>
    <xf numFmtId="0" fontId="11" fillId="5" borderId="69" xfId="0" applyFont="1" applyFill="1" applyBorder="1" applyAlignment="1" applyProtection="1">
      <alignment horizontal="center"/>
      <protection hidden="1"/>
    </xf>
    <xf numFmtId="0" fontId="11" fillId="5" borderId="3" xfId="0" applyFont="1" applyFill="1" applyBorder="1" applyAlignment="1" applyProtection="1">
      <alignment horizontal="center"/>
      <protection hidden="1"/>
    </xf>
    <xf numFmtId="0" fontId="11" fillId="5" borderId="14" xfId="0" applyFont="1" applyFill="1" applyBorder="1" applyAlignment="1" applyProtection="1">
      <alignment horizontal="center"/>
      <protection hidden="1"/>
    </xf>
    <xf numFmtId="0" fontId="12" fillId="4" borderId="43" xfId="0" applyFont="1" applyFill="1" applyBorder="1" applyAlignment="1" applyProtection="1">
      <alignment/>
      <protection hidden="1"/>
    </xf>
    <xf numFmtId="0" fontId="10" fillId="4" borderId="71" xfId="0" applyFont="1" applyFill="1" applyBorder="1" applyAlignment="1" applyProtection="1">
      <alignment/>
      <protection hidden="1"/>
    </xf>
    <xf numFmtId="0" fontId="9" fillId="4" borderId="71" xfId="0" applyFont="1" applyFill="1" applyBorder="1" applyAlignment="1" applyProtection="1">
      <alignment/>
      <protection hidden="1"/>
    </xf>
    <xf numFmtId="0" fontId="12" fillId="4" borderId="10" xfId="0" applyFont="1" applyFill="1" applyBorder="1" applyAlignment="1" applyProtection="1">
      <alignment/>
      <protection hidden="1"/>
    </xf>
    <xf numFmtId="0" fontId="0" fillId="4" borderId="61" xfId="0" applyFill="1" applyBorder="1" applyAlignment="1" applyProtection="1">
      <alignment/>
      <protection hidden="1"/>
    </xf>
    <xf numFmtId="0" fontId="0" fillId="4" borderId="42" xfId="0" applyFill="1" applyBorder="1" applyAlignment="1" applyProtection="1">
      <alignment/>
      <protection hidden="1"/>
    </xf>
    <xf numFmtId="0" fontId="11" fillId="4" borderId="27" xfId="0" applyFont="1" applyFill="1" applyBorder="1" applyAlignment="1" applyProtection="1">
      <alignment/>
      <protection hidden="1"/>
    </xf>
    <xf numFmtId="0" fontId="11" fillId="4" borderId="41" xfId="0" applyFont="1" applyFill="1" applyBorder="1" applyAlignment="1" applyProtection="1">
      <alignment/>
      <protection hidden="1"/>
    </xf>
    <xf numFmtId="0" fontId="9" fillId="4" borderId="41" xfId="0" applyFont="1" applyFill="1" applyBorder="1" applyAlignment="1" applyProtection="1">
      <alignment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11" fillId="4" borderId="42" xfId="0" applyFont="1" applyFill="1" applyBorder="1" applyAlignment="1" applyProtection="1">
      <alignment horizontal="center"/>
      <protection hidden="1"/>
    </xf>
    <xf numFmtId="0" fontId="11" fillId="2" borderId="42" xfId="0" applyFont="1" applyFill="1" applyBorder="1" applyAlignment="1" applyProtection="1">
      <alignment horizontal="center"/>
      <protection hidden="1"/>
    </xf>
    <xf numFmtId="0" fontId="11" fillId="2" borderId="1" xfId="0" applyFont="1" applyBorder="1" applyAlignment="1" applyProtection="1">
      <alignment horizontal="left"/>
      <protection hidden="1"/>
    </xf>
    <xf numFmtId="0" fontId="10" fillId="2" borderId="1" xfId="0" applyFont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183" fontId="10" fillId="5" borderId="1" xfId="0" applyNumberFormat="1" applyFont="1" applyFill="1" applyBorder="1" applyAlignment="1" applyProtection="1">
      <alignment horizontal="center"/>
      <protection hidden="1"/>
    </xf>
    <xf numFmtId="1" fontId="11" fillId="5" borderId="6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183" fontId="10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Border="1" applyAlignment="1" applyProtection="1">
      <alignment horizontal="center"/>
      <protection hidden="1"/>
    </xf>
    <xf numFmtId="1" fontId="11" fillId="2" borderId="8" xfId="0" applyNumberFormat="1" applyFont="1" applyFill="1" applyBorder="1" applyAlignment="1" applyProtection="1">
      <alignment horizontal="center"/>
      <protection hidden="1"/>
    </xf>
    <xf numFmtId="1" fontId="11" fillId="2" borderId="65" xfId="0" applyNumberFormat="1" applyFont="1" applyFill="1" applyBorder="1" applyAlignment="1" applyProtection="1">
      <alignment horizontal="center"/>
      <protection hidden="1"/>
    </xf>
    <xf numFmtId="183" fontId="11" fillId="2" borderId="42" xfId="0" applyNumberFormat="1" applyFont="1" applyFill="1" applyBorder="1" applyAlignment="1" applyProtection="1">
      <alignment horizontal="center"/>
      <protection hidden="1"/>
    </xf>
    <xf numFmtId="1" fontId="11" fillId="5" borderId="9" xfId="0" applyNumberFormat="1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0" fillId="0" borderId="1" xfId="0" applyFont="1" applyFill="1" applyBorder="1" applyAlignment="1" applyProtection="1">
      <alignment horizontal="center"/>
      <protection hidden="1"/>
    </xf>
    <xf numFmtId="0" fontId="10" fillId="4" borderId="72" xfId="0" applyFont="1" applyFill="1" applyBorder="1" applyAlignment="1" applyProtection="1">
      <alignment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1" fillId="2" borderId="7" xfId="0" applyFont="1" applyBorder="1" applyAlignment="1" applyProtection="1">
      <alignment horizontal="center"/>
      <protection hidden="1"/>
    </xf>
    <xf numFmtId="0" fontId="11" fillId="2" borderId="65" xfId="0" applyFont="1" applyBorder="1" applyAlignment="1" applyProtection="1">
      <alignment horizontal="center"/>
      <protection hidden="1"/>
    </xf>
    <xf numFmtId="184" fontId="10" fillId="5" borderId="65" xfId="0" applyNumberFormat="1" applyFont="1" applyFill="1" applyBorder="1" applyAlignment="1" applyProtection="1">
      <alignment horizontal="center"/>
      <protection hidden="1"/>
    </xf>
    <xf numFmtId="184" fontId="10" fillId="2" borderId="65" xfId="0" applyNumberFormat="1" applyFont="1" applyFill="1" applyBorder="1" applyAlignment="1" applyProtection="1">
      <alignment horizontal="center"/>
      <protection hidden="1"/>
    </xf>
    <xf numFmtId="184" fontId="10" fillId="5" borderId="23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6" fillId="2" borderId="0" xfId="0" applyFont="1" applyAlignment="1" applyProtection="1">
      <alignment horizontal="left"/>
      <protection hidden="1"/>
    </xf>
    <xf numFmtId="183" fontId="5" fillId="2" borderId="0" xfId="0" applyNumberFormat="1" applyFont="1" applyAlignment="1" applyProtection="1">
      <alignment horizontal="left"/>
      <protection hidden="1"/>
    </xf>
    <xf numFmtId="0" fontId="5" fillId="2" borderId="0" xfId="0" applyFont="1" applyAlignment="1" applyProtection="1">
      <alignment horizontal="left"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183" fontId="2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0" fontId="30" fillId="2" borderId="0" xfId="0" applyFont="1" applyAlignment="1">
      <alignment/>
    </xf>
    <xf numFmtId="0" fontId="0" fillId="9" borderId="49" xfId="0" applyFill="1" applyBorder="1" applyAlignment="1">
      <alignment/>
    </xf>
    <xf numFmtId="1" fontId="21" fillId="5" borderId="27" xfId="0" applyNumberFormat="1" applyFont="1" applyFill="1" applyBorder="1" applyAlignment="1" applyProtection="1">
      <alignment horizontal="center"/>
      <protection hidden="1"/>
    </xf>
    <xf numFmtId="0" fontId="11" fillId="9" borderId="44" xfId="0" applyFont="1" applyFill="1" applyBorder="1" applyAlignment="1" applyProtection="1">
      <alignment/>
      <protection/>
    </xf>
    <xf numFmtId="0" fontId="11" fillId="9" borderId="44" xfId="0" applyFont="1" applyFill="1" applyBorder="1" applyAlignment="1" applyProtection="1">
      <alignment/>
      <protection hidden="1"/>
    </xf>
    <xf numFmtId="1" fontId="10" fillId="3" borderId="12" xfId="0" applyNumberFormat="1" applyFont="1" applyFill="1" applyBorder="1" applyAlignment="1" applyProtection="1">
      <alignment horizontal="right"/>
      <protection locked="0"/>
    </xf>
    <xf numFmtId="0" fontId="11" fillId="9" borderId="40" xfId="0" applyFont="1" applyFill="1" applyBorder="1" applyAlignment="1" applyProtection="1">
      <alignment horizontal="center"/>
      <protection hidden="1"/>
    </xf>
    <xf numFmtId="0" fontId="11" fillId="10" borderId="46" xfId="0" applyFont="1" applyFill="1" applyBorder="1" applyAlignment="1" applyProtection="1">
      <alignment horizontal="center"/>
      <protection hidden="1"/>
    </xf>
    <xf numFmtId="0" fontId="0" fillId="10" borderId="44" xfId="0" applyFill="1" applyBorder="1" applyAlignment="1">
      <alignment/>
    </xf>
    <xf numFmtId="1" fontId="11" fillId="10" borderId="49" xfId="0" applyNumberFormat="1" applyFont="1" applyFill="1" applyBorder="1" applyAlignment="1">
      <alignment horizontal="center"/>
    </xf>
    <xf numFmtId="0" fontId="0" fillId="11" borderId="44" xfId="0" applyFill="1" applyBorder="1" applyAlignment="1">
      <alignment/>
    </xf>
    <xf numFmtId="0" fontId="0" fillId="11" borderId="49" xfId="0" applyFill="1" applyBorder="1" applyAlignment="1">
      <alignment/>
    </xf>
    <xf numFmtId="1" fontId="1" fillId="10" borderId="46" xfId="0" applyNumberFormat="1" applyFont="1" applyFill="1" applyBorder="1" applyAlignment="1" applyProtection="1">
      <alignment horizontal="center"/>
      <protection hidden="1"/>
    </xf>
    <xf numFmtId="1" fontId="1" fillId="9" borderId="8" xfId="0" applyNumberFormat="1" applyFont="1" applyFill="1" applyBorder="1" applyAlignment="1" applyProtection="1">
      <alignment horizontal="center"/>
      <protection hidden="1"/>
    </xf>
    <xf numFmtId="1" fontId="1" fillId="11" borderId="69" xfId="0" applyNumberFormat="1" applyFont="1" applyFill="1" applyBorder="1" applyAlignment="1" applyProtection="1">
      <alignment horizontal="center"/>
      <protection locked="0"/>
    </xf>
    <xf numFmtId="0" fontId="0" fillId="10" borderId="49" xfId="0" applyFill="1" applyBorder="1" applyAlignment="1">
      <alignment/>
    </xf>
    <xf numFmtId="0" fontId="11" fillId="9" borderId="48" xfId="0" applyFont="1" applyFill="1" applyBorder="1" applyAlignment="1" applyProtection="1">
      <alignment horizontal="center"/>
      <protection hidden="1"/>
    </xf>
    <xf numFmtId="1" fontId="1" fillId="9" borderId="66" xfId="0" applyNumberFormat="1" applyFont="1" applyFill="1" applyBorder="1" applyAlignment="1" applyProtection="1">
      <alignment horizontal="center"/>
      <protection hidden="1"/>
    </xf>
    <xf numFmtId="1" fontId="4" fillId="11" borderId="60" xfId="0" applyNumberFormat="1" applyFont="1" applyFill="1" applyBorder="1" applyAlignment="1" applyProtection="1">
      <alignment horizontal="center"/>
      <protection locked="0"/>
    </xf>
    <xf numFmtId="0" fontId="23" fillId="3" borderId="63" xfId="0" applyFont="1" applyFill="1" applyBorder="1" applyAlignment="1" applyProtection="1">
      <alignment horizontal="center"/>
      <protection locked="0"/>
    </xf>
    <xf numFmtId="178" fontId="10" fillId="2" borderId="41" xfId="0" applyNumberFormat="1" applyFont="1" applyFill="1" applyBorder="1" applyAlignment="1" applyProtection="1">
      <alignment horizontal="center"/>
      <protection hidden="1"/>
    </xf>
    <xf numFmtId="178" fontId="10" fillId="5" borderId="41" xfId="0" applyNumberFormat="1" applyFont="1" applyFill="1" applyBorder="1" applyAlignment="1" applyProtection="1">
      <alignment horizontal="center"/>
      <protection hidden="1"/>
    </xf>
    <xf numFmtId="178" fontId="10" fillId="2" borderId="29" xfId="0" applyNumberFormat="1" applyFont="1" applyFill="1" applyBorder="1" applyAlignment="1" applyProtection="1">
      <alignment horizontal="center"/>
      <protection hidden="1"/>
    </xf>
    <xf numFmtId="178" fontId="10" fillId="5" borderId="29" xfId="0" applyNumberFormat="1" applyFont="1" applyFill="1" applyBorder="1" applyAlignment="1" applyProtection="1">
      <alignment horizontal="center"/>
      <protection hidden="1"/>
    </xf>
    <xf numFmtId="178" fontId="10" fillId="2" borderId="20" xfId="0" applyNumberFormat="1" applyFont="1" applyFill="1" applyBorder="1" applyAlignment="1" applyProtection="1">
      <alignment horizontal="center"/>
      <protection hidden="1"/>
    </xf>
    <xf numFmtId="178" fontId="10" fillId="5" borderId="32" xfId="0" applyNumberFormat="1" applyFont="1" applyFill="1" applyBorder="1" applyAlignment="1" applyProtection="1">
      <alignment horizontal="center"/>
      <protection hidden="1"/>
    </xf>
    <xf numFmtId="178" fontId="10" fillId="2" borderId="32" xfId="0" applyNumberFormat="1" applyFont="1" applyFill="1" applyBorder="1" applyAlignment="1" applyProtection="1">
      <alignment horizontal="center"/>
      <protection hidden="1"/>
    </xf>
    <xf numFmtId="178" fontId="10" fillId="2" borderId="33" xfId="0" applyNumberFormat="1" applyFont="1" applyFill="1" applyBorder="1" applyAlignment="1" applyProtection="1">
      <alignment horizontal="center"/>
      <protection hidden="1"/>
    </xf>
    <xf numFmtId="191" fontId="10" fillId="2" borderId="69" xfId="0" applyNumberFormat="1" applyFont="1" applyFill="1" applyBorder="1" applyAlignment="1" applyProtection="1">
      <alignment horizontal="center"/>
      <protection hidden="1"/>
    </xf>
    <xf numFmtId="191" fontId="10" fillId="5" borderId="3" xfId="0" applyNumberFormat="1" applyFont="1" applyFill="1" applyBorder="1" applyAlignment="1" applyProtection="1">
      <alignment horizontal="center"/>
      <protection hidden="1"/>
    </xf>
    <xf numFmtId="191" fontId="10" fillId="2" borderId="3" xfId="0" applyNumberFormat="1" applyFont="1" applyFill="1" applyBorder="1" applyAlignment="1" applyProtection="1">
      <alignment horizontal="center"/>
      <protection hidden="1"/>
    </xf>
    <xf numFmtId="191" fontId="10" fillId="2" borderId="14" xfId="0" applyNumberFormat="1" applyFont="1" applyFill="1" applyBorder="1" applyAlignment="1" applyProtection="1">
      <alignment horizontal="center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2" fontId="1" fillId="5" borderId="14" xfId="0" applyNumberFormat="1" applyFont="1" applyFill="1" applyBorder="1" applyAlignment="1" applyProtection="1">
      <alignment horizontal="center"/>
      <protection hidden="1"/>
    </xf>
    <xf numFmtId="2" fontId="10" fillId="2" borderId="27" xfId="0" applyNumberFormat="1" applyFont="1" applyFill="1" applyBorder="1" applyAlignment="1" applyProtection="1">
      <alignment horizontal="center"/>
      <protection hidden="1"/>
    </xf>
    <xf numFmtId="2" fontId="10" fillId="5" borderId="10" xfId="0" applyNumberFormat="1" applyFont="1" applyFill="1" applyBorder="1" applyAlignment="1" applyProtection="1">
      <alignment horizontal="center"/>
      <protection hidden="1"/>
    </xf>
    <xf numFmtId="2" fontId="10" fillId="2" borderId="10" xfId="0" applyNumberFormat="1" applyFont="1" applyFill="1" applyBorder="1" applyAlignment="1" applyProtection="1">
      <alignment horizontal="center"/>
      <protection hidden="1"/>
    </xf>
    <xf numFmtId="194" fontId="10" fillId="3" borderId="3" xfId="0" applyNumberFormat="1" applyFont="1" applyFill="1" applyBorder="1" applyAlignment="1" applyProtection="1">
      <alignment horizontal="right"/>
      <protection locked="0"/>
    </xf>
    <xf numFmtId="0" fontId="11" fillId="4" borderId="41" xfId="0" applyFont="1" applyFill="1" applyBorder="1" applyAlignment="1" applyProtection="1">
      <alignment horizontal="center"/>
      <protection hidden="1"/>
    </xf>
    <xf numFmtId="0" fontId="11" fillId="4" borderId="27" xfId="0" applyFont="1" applyFill="1" applyBorder="1" applyAlignment="1" applyProtection="1">
      <alignment horizontal="center"/>
      <protection hidden="1"/>
    </xf>
    <xf numFmtId="0" fontId="11" fillId="4" borderId="20" xfId="0" applyFont="1" applyFill="1" applyBorder="1" applyAlignment="1" applyProtection="1">
      <alignment horizontal="center"/>
      <protection hidden="1"/>
    </xf>
    <xf numFmtId="0" fontId="11" fillId="4" borderId="29" xfId="0" applyFont="1" applyFill="1" applyBorder="1" applyAlignment="1" applyProtection="1">
      <alignment horizontal="center"/>
      <protection hidden="1"/>
    </xf>
    <xf numFmtId="0" fontId="4" fillId="2" borderId="0" xfId="0" applyFont="1" applyAlignment="1">
      <alignment/>
    </xf>
    <xf numFmtId="184" fontId="11" fillId="4" borderId="16" xfId="0" applyNumberFormat="1" applyFont="1" applyFill="1" applyBorder="1" applyAlignment="1" applyProtection="1">
      <alignment/>
      <protection hidden="1"/>
    </xf>
    <xf numFmtId="0" fontId="4" fillId="2" borderId="0" xfId="0" applyFont="1" applyBorder="1" applyAlignment="1">
      <alignment/>
    </xf>
    <xf numFmtId="183" fontId="4" fillId="2" borderId="0" xfId="0" applyNumberFormat="1" applyFont="1" applyAlignment="1">
      <alignment/>
    </xf>
    <xf numFmtId="193" fontId="1" fillId="2" borderId="0" xfId="0" applyNumberFormat="1" applyFont="1" applyAlignment="1">
      <alignment/>
    </xf>
    <xf numFmtId="0" fontId="10" fillId="4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2" borderId="0" xfId="0" applyFont="1" applyAlignment="1" applyProtection="1">
      <alignment/>
      <protection hidden="1"/>
    </xf>
    <xf numFmtId="193" fontId="4" fillId="2" borderId="0" xfId="0" applyNumberFormat="1" applyFont="1" applyAlignment="1">
      <alignment/>
    </xf>
    <xf numFmtId="0" fontId="10" fillId="2" borderId="0" xfId="0" applyFont="1" applyBorder="1" applyAlignment="1">
      <alignment/>
    </xf>
    <xf numFmtId="196" fontId="4" fillId="2" borderId="0" xfId="0" applyNumberFormat="1" applyFont="1" applyAlignment="1">
      <alignment/>
    </xf>
    <xf numFmtId="184" fontId="10" fillId="3" borderId="37" xfId="0" applyNumberFormat="1" applyFont="1" applyFill="1" applyBorder="1" applyAlignment="1" applyProtection="1">
      <alignment horizontal="right"/>
      <protection locked="0"/>
    </xf>
    <xf numFmtId="1" fontId="10" fillId="3" borderId="40" xfId="0" applyNumberFormat="1" applyFont="1" applyFill="1" applyBorder="1" applyAlignment="1" applyProtection="1">
      <alignment horizontal="right"/>
      <protection locked="0"/>
    </xf>
    <xf numFmtId="0" fontId="11" fillId="5" borderId="0" xfId="0" applyFont="1" applyFill="1" applyBorder="1" applyAlignment="1" applyProtection="1">
      <alignment/>
      <protection hidden="1"/>
    </xf>
    <xf numFmtId="1" fontId="1" fillId="5" borderId="63" xfId="0" applyNumberFormat="1" applyFont="1" applyFill="1" applyBorder="1" applyAlignment="1" applyProtection="1">
      <alignment/>
      <protection hidden="1"/>
    </xf>
    <xf numFmtId="0" fontId="4" fillId="5" borderId="49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2" fontId="4" fillId="2" borderId="0" xfId="0" applyNumberFormat="1" applyFont="1" applyBorder="1" applyAlignment="1">
      <alignment/>
    </xf>
    <xf numFmtId="2" fontId="4" fillId="2" borderId="0" xfId="0" applyNumberFormat="1" applyFont="1" applyAlignment="1">
      <alignment/>
    </xf>
    <xf numFmtId="183" fontId="10" fillId="3" borderId="3" xfId="0" applyNumberFormat="1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hidden="1"/>
    </xf>
    <xf numFmtId="194" fontId="0" fillId="5" borderId="1" xfId="0" applyNumberFormat="1" applyFill="1" applyBorder="1" applyAlignment="1" applyProtection="1">
      <alignment horizontal="center"/>
      <protection hidden="1"/>
    </xf>
    <xf numFmtId="1" fontId="0" fillId="5" borderId="1" xfId="0" applyNumberFormat="1" applyFill="1" applyBorder="1" applyAlignment="1" applyProtection="1">
      <alignment horizontal="center"/>
      <protection hidden="1"/>
    </xf>
    <xf numFmtId="180" fontId="11" fillId="4" borderId="21" xfId="0" applyNumberFormat="1" applyFont="1" applyFill="1" applyBorder="1" applyAlignment="1" applyProtection="1">
      <alignment horizontal="center"/>
      <protection hidden="1"/>
    </xf>
    <xf numFmtId="2" fontId="10" fillId="2" borderId="70" xfId="0" applyNumberFormat="1" applyFont="1" applyFill="1" applyBorder="1" applyAlignment="1" applyProtection="1">
      <alignment horizontal="center"/>
      <protection hidden="1"/>
    </xf>
    <xf numFmtId="2" fontId="10" fillId="5" borderId="39" xfId="0" applyNumberFormat="1" applyFont="1" applyFill="1" applyBorder="1" applyAlignment="1" applyProtection="1">
      <alignment horizontal="center"/>
      <protection hidden="1"/>
    </xf>
    <xf numFmtId="2" fontId="10" fillId="2" borderId="39" xfId="0" applyNumberFormat="1" applyFont="1" applyFill="1" applyBorder="1" applyAlignment="1" applyProtection="1">
      <alignment horizontal="center"/>
      <protection hidden="1"/>
    </xf>
    <xf numFmtId="1" fontId="7" fillId="4" borderId="49" xfId="0" applyNumberFormat="1" applyFont="1" applyFill="1" applyBorder="1" applyAlignment="1" applyProtection="1">
      <alignment horizontal="center"/>
      <protection hidden="1"/>
    </xf>
    <xf numFmtId="184" fontId="1" fillId="4" borderId="17" xfId="0" applyNumberFormat="1" applyFont="1" applyFill="1" applyBorder="1" applyAlignment="1" applyProtection="1">
      <alignment/>
      <protection hidden="1"/>
    </xf>
    <xf numFmtId="193" fontId="1" fillId="4" borderId="12" xfId="0" applyNumberFormat="1" applyFont="1" applyFill="1" applyBorder="1" applyAlignment="1">
      <alignment/>
    </xf>
    <xf numFmtId="193" fontId="1" fillId="4" borderId="49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right"/>
    </xf>
    <xf numFmtId="184" fontId="1" fillId="7" borderId="52" xfId="0" applyNumberFormat="1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>
      <alignment/>
    </xf>
    <xf numFmtId="1" fontId="10" fillId="3" borderId="46" xfId="0" applyNumberFormat="1" applyFont="1" applyFill="1" applyBorder="1" applyAlignment="1" applyProtection="1">
      <alignment horizontal="right"/>
      <protection locked="0"/>
    </xf>
    <xf numFmtId="0" fontId="11" fillId="5" borderId="3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>
      <alignment horizontal="center"/>
    </xf>
    <xf numFmtId="0" fontId="1" fillId="2" borderId="1" xfId="0" applyFont="1" applyBorder="1" applyAlignment="1">
      <alignment/>
    </xf>
    <xf numFmtId="183" fontId="1" fillId="2" borderId="1" xfId="0" applyNumberFormat="1" applyFont="1" applyBorder="1" applyAlignment="1">
      <alignment/>
    </xf>
    <xf numFmtId="197" fontId="4" fillId="2" borderId="1" xfId="18" applyNumberFormat="1" applyFont="1" applyBorder="1" applyAlignment="1">
      <alignment/>
    </xf>
    <xf numFmtId="0" fontId="1" fillId="4" borderId="63" xfId="0" applyFont="1" applyFill="1" applyBorder="1" applyAlignment="1">
      <alignment horizontal="right"/>
    </xf>
    <xf numFmtId="2" fontId="1" fillId="4" borderId="63" xfId="0" applyNumberFormat="1" applyFont="1" applyFill="1" applyBorder="1" applyAlignment="1">
      <alignment/>
    </xf>
    <xf numFmtId="0" fontId="1" fillId="4" borderId="48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6" fillId="4" borderId="46" xfId="0" applyFont="1" applyFill="1" applyBorder="1" applyAlignment="1" applyProtection="1">
      <alignment horizontal="center"/>
      <protection hidden="1"/>
    </xf>
    <xf numFmtId="0" fontId="16" fillId="4" borderId="2" xfId="0" applyFont="1" applyFill="1" applyBorder="1" applyAlignment="1" applyProtection="1">
      <alignment horizontal="center"/>
      <protection hidden="1"/>
    </xf>
    <xf numFmtId="0" fontId="16" fillId="2" borderId="56" xfId="0" applyFont="1" applyBorder="1" applyAlignment="1" applyProtection="1">
      <alignment horizontal="center"/>
      <protection hidden="1"/>
    </xf>
    <xf numFmtId="0" fontId="16" fillId="2" borderId="35" xfId="0" applyFont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31" xfId="0" applyFont="1" applyFill="1" applyBorder="1" applyAlignment="1" applyProtection="1">
      <alignment horizontal="center"/>
      <protection hidden="1"/>
    </xf>
    <xf numFmtId="0" fontId="12" fillId="4" borderId="56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11" fillId="4" borderId="42" xfId="0" applyFont="1" applyFill="1" applyBorder="1" applyAlignment="1" applyProtection="1">
      <alignment horizontal="center"/>
      <protection hidden="1"/>
    </xf>
    <xf numFmtId="0" fontId="11" fillId="5" borderId="11" xfId="0" applyFont="1" applyFill="1" applyBorder="1" applyAlignment="1" applyProtection="1">
      <alignment/>
      <protection hidden="1"/>
    </xf>
    <xf numFmtId="0" fontId="11" fillId="5" borderId="62" xfId="0" applyFont="1" applyFill="1" applyBorder="1" applyAlignment="1" applyProtection="1">
      <alignment/>
      <protection hidden="1"/>
    </xf>
    <xf numFmtId="0" fontId="11" fillId="5" borderId="68" xfId="0" applyFont="1" applyFill="1" applyBorder="1" applyAlignment="1" applyProtection="1">
      <alignment/>
      <protection hidden="1"/>
    </xf>
    <xf numFmtId="184" fontId="11" fillId="4" borderId="8" xfId="0" applyNumberFormat="1" applyFont="1" applyFill="1" applyBorder="1" applyAlignment="1" applyProtection="1">
      <alignment/>
      <protection hidden="1"/>
    </xf>
    <xf numFmtId="0" fontId="1" fillId="7" borderId="69" xfId="0" applyFont="1" applyFill="1" applyBorder="1" applyAlignment="1" applyProtection="1">
      <alignment/>
      <protection hidden="1"/>
    </xf>
    <xf numFmtId="0" fontId="4" fillId="2" borderId="46" xfId="0" applyFont="1" applyBorder="1" applyAlignment="1">
      <alignment/>
    </xf>
    <xf numFmtId="0" fontId="1" fillId="2" borderId="63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8"/>
  <sheetViews>
    <sheetView tabSelected="1" workbookViewId="0" topLeftCell="A5">
      <selection activeCell="F14" sqref="F14"/>
    </sheetView>
  </sheetViews>
  <sheetFormatPr defaultColWidth="9.00390625" defaultRowHeight="12.75"/>
  <cols>
    <col min="1" max="1" width="16.375" style="69" customWidth="1"/>
    <col min="2" max="2" width="6.50390625" style="69" customWidth="1"/>
    <col min="3" max="3" width="7.00390625" style="360" bestFit="1" customWidth="1"/>
    <col min="4" max="4" width="22.00390625" style="360" bestFit="1" customWidth="1"/>
    <col min="5" max="5" width="7.625" style="360" customWidth="1"/>
    <col min="6" max="6" width="9.25390625" style="360" bestFit="1" customWidth="1"/>
    <col min="7" max="7" width="20.375" style="360" customWidth="1"/>
    <col min="8" max="8" width="6.75390625" style="360" customWidth="1"/>
    <col min="9" max="10" width="5.75390625" style="360" bestFit="1" customWidth="1"/>
    <col min="11" max="16384" width="9.00390625" style="360" customWidth="1"/>
  </cols>
  <sheetData>
    <row r="1" spans="1:5" ht="21" thickBot="1">
      <c r="A1" s="109" t="s">
        <v>139</v>
      </c>
      <c r="B1" s="3"/>
      <c r="D1" s="410" t="s">
        <v>158</v>
      </c>
      <c r="E1" s="411"/>
    </row>
    <row r="2" ht="9.75" customHeight="1" thickBot="1">
      <c r="F2" s="362"/>
    </row>
    <row r="3" spans="1:6" ht="16.5" thickBot="1">
      <c r="A3" s="337" t="s">
        <v>249</v>
      </c>
      <c r="C3" s="318" t="str">
        <f>IF(MOD(B15,B9)&lt;&gt;0," Range Increment must be evenly divisible by Zero Range"," ")</f>
        <v> </v>
      </c>
      <c r="F3" s="362"/>
    </row>
    <row r="4" spans="1:8" ht="13.5" thickBot="1">
      <c r="A4" s="110" t="s">
        <v>27</v>
      </c>
      <c r="B4" s="18"/>
      <c r="D4" s="110" t="s">
        <v>155</v>
      </c>
      <c r="E4" s="36"/>
      <c r="F4" s="362"/>
      <c r="G4" s="110" t="s">
        <v>156</v>
      </c>
      <c r="H4" s="36"/>
    </row>
    <row r="5" spans="1:10" ht="12.75">
      <c r="A5" s="111" t="s">
        <v>29</v>
      </c>
      <c r="B5" s="323">
        <v>3006</v>
      </c>
      <c r="D5" s="115" t="s">
        <v>81</v>
      </c>
      <c r="E5" s="373">
        <v>0.667</v>
      </c>
      <c r="F5" s="378">
        <v>0.667</v>
      </c>
      <c r="G5" s="268" t="s">
        <v>84</v>
      </c>
      <c r="H5" s="19">
        <v>305700</v>
      </c>
      <c r="J5" s="366"/>
    </row>
    <row r="6" spans="1:8" ht="13.5" thickBot="1">
      <c r="A6" s="111" t="s">
        <v>30</v>
      </c>
      <c r="B6" s="22">
        <v>144</v>
      </c>
      <c r="D6" s="123" t="s">
        <v>101</v>
      </c>
      <c r="E6" s="374">
        <v>12</v>
      </c>
      <c r="F6" s="377">
        <v>12</v>
      </c>
      <c r="G6" s="375" t="s">
        <v>85</v>
      </c>
      <c r="H6" s="16">
        <v>4350055</v>
      </c>
    </row>
    <row r="7" spans="1:8" ht="13.5" thickBot="1">
      <c r="A7" s="111" t="s">
        <v>28</v>
      </c>
      <c r="B7" s="4">
        <v>0.625</v>
      </c>
      <c r="D7" s="123" t="s">
        <v>105</v>
      </c>
      <c r="E7" s="30">
        <f>IF(SUM(E5)+SUM(E6)&gt;0,((E6*27.7778)/E5)," ")</f>
        <v>499.75052473763117</v>
      </c>
      <c r="F7" s="376">
        <f>F6*25.4/F5</f>
        <v>456.97151424287847</v>
      </c>
      <c r="G7" s="116" t="s">
        <v>82</v>
      </c>
      <c r="H7" s="16">
        <v>305800</v>
      </c>
    </row>
    <row r="8" spans="1:9" ht="13.5" thickBot="1">
      <c r="A8" s="111" t="s">
        <v>31</v>
      </c>
      <c r="B8" s="22">
        <v>0</v>
      </c>
      <c r="D8" s="118" t="s">
        <v>106</v>
      </c>
      <c r="E8" s="365"/>
      <c r="F8" s="362"/>
      <c r="G8" s="112" t="s">
        <v>83</v>
      </c>
      <c r="H8" s="20">
        <v>4349674</v>
      </c>
      <c r="I8" s="17"/>
    </row>
    <row r="9" spans="1:8" ht="13.5" thickBot="1">
      <c r="A9" s="111" t="s">
        <v>32</v>
      </c>
      <c r="B9" s="23">
        <v>54.68</v>
      </c>
      <c r="D9" s="107" t="str">
        <f>CONCATENATE("Trajectory (MOA)     ",IF(SUM(B18)&gt;0,"Slope","No Slope"))</f>
        <v>Trajectory (MOA)     No Slope</v>
      </c>
      <c r="E9" s="104">
        <f>IF(E7&gt;'Ballistics Table'!B44,"Too Far",IF(SUM(E7)=0," ",-(VLOOKUP(COS(B18*PI()/180)*(E7+B9/2),'Ballistics Table'!B4:G44,6))))</f>
        <v>7.374000344913842</v>
      </c>
      <c r="F9" s="367"/>
      <c r="G9" s="117" t="s">
        <v>105</v>
      </c>
      <c r="H9" s="31">
        <f>IF(SUM(H5)&gt;0,(SQRT(SUM((($H$5-H7)^2)+(($H$6-H8)^2))))*G28,)</f>
        <v>430.7795394098029</v>
      </c>
    </row>
    <row r="10" spans="1:9" ht="13.5" thickBot="1">
      <c r="A10" s="111" t="s">
        <v>33</v>
      </c>
      <c r="B10" s="22">
        <v>0</v>
      </c>
      <c r="D10" s="108" t="str">
        <f>CONCATENATE("Windage in (MOA) =    ",VLOOKUP(SUM(B17),Calculations!G20:I44,3))</f>
        <v>Windage in (MOA) =    Right</v>
      </c>
      <c r="E10" s="350">
        <f>IF(SUM(E7)=0," ",VLOOKUP(E7,'Ballistics Table'!B4:K44,10)*(VLOOKUP(SUM(B17),Calculations!G20:I44,2)))</f>
        <v>2.415181041443192</v>
      </c>
      <c r="F10" s="362"/>
      <c r="G10" s="118" t="s">
        <v>106</v>
      </c>
      <c r="H10" s="368"/>
      <c r="I10" s="21"/>
    </row>
    <row r="11" spans="1:9" ht="13.5" thickBot="1">
      <c r="A11" s="111" t="s">
        <v>34</v>
      </c>
      <c r="B11" s="22">
        <v>59</v>
      </c>
      <c r="D11" s="119" t="s">
        <v>141</v>
      </c>
      <c r="E11" s="351">
        <f>IF(SUM(E7)=0," ",VLOOKUP((E7+B9/2),'Ballistics Table'!B4:P44,14))</f>
        <v>0.5704715101205405</v>
      </c>
      <c r="F11" s="362"/>
      <c r="G11" s="107" t="str">
        <f>CONCATENATE("Trajectory (MOA)     ",IF(SUM(B18)&gt;0,"Slope","No Slope"))</f>
        <v>Trajectory (MOA)     No Slope</v>
      </c>
      <c r="H11" s="104">
        <f>IF(H9&gt;'Ballistics Table'!B44,"Too Far",IF(SUM(H9)=0," ",-(VLOOKUP(COS(B18*PI()/180)*(H9+B9/2),'Ballistics Table'!B4:G44,6))))</f>
        <v>6.009419099501965</v>
      </c>
      <c r="I11" s="21"/>
    </row>
    <row r="12" spans="1:8" ht="13.5" thickBot="1">
      <c r="A12" s="111" t="s">
        <v>35</v>
      </c>
      <c r="B12" s="23">
        <v>2</v>
      </c>
      <c r="F12" s="362"/>
      <c r="G12" s="108" t="str">
        <f>CONCATENATE("Windage in (MOA) =    ",VLOOKUP(SUM(B17),Calculations!G20:I44,3))</f>
        <v>Windage in (MOA) =    Right</v>
      </c>
      <c r="H12" s="350">
        <f>IF(SUM(H9)=0," ",VLOOKUP(H9,'Ballistics Table'!B4:K44,10)*(VLOOKUP(SUM(B17),Calculations!G20:I44,2)))</f>
        <v>1.8246341823570362</v>
      </c>
    </row>
    <row r="13" spans="1:8" ht="13.5" thickBot="1">
      <c r="A13" s="111" t="s">
        <v>75</v>
      </c>
      <c r="B13" s="355">
        <f>3.6/B14</f>
        <v>3.437746770784939</v>
      </c>
      <c r="D13" s="110" t="s">
        <v>157</v>
      </c>
      <c r="E13" s="395"/>
      <c r="F13" s="399">
        <v>0</v>
      </c>
      <c r="G13" s="397" t="s">
        <v>141</v>
      </c>
      <c r="H13" s="351">
        <f>IF(SUM(H9)=0," ",VLOOKUP((H9+B9/2),'Ballistics Table'!B4:P44,14))</f>
        <v>0.4991187480500751</v>
      </c>
    </row>
    <row r="14" spans="1:7" ht="13.5" thickBot="1">
      <c r="A14" s="111" t="s">
        <v>76</v>
      </c>
      <c r="B14" s="355">
        <f>A37</f>
        <v>1.0471975511965979</v>
      </c>
      <c r="D14" s="117" t="s">
        <v>105</v>
      </c>
      <c r="E14" s="396">
        <f>E15/G29</f>
        <v>546.8066491688539</v>
      </c>
      <c r="F14" s="399">
        <v>541</v>
      </c>
      <c r="G14" s="401">
        <f>F14-(VLOOKUP(F14,'Ballistics Table'!A4:A44,1))</f>
        <v>41.006080000000054</v>
      </c>
    </row>
    <row r="15" spans="1:12" ht="13.5" thickBot="1">
      <c r="A15" s="111" t="s">
        <v>36</v>
      </c>
      <c r="B15" s="23">
        <v>109.36</v>
      </c>
      <c r="C15" s="366"/>
      <c r="D15" s="117" t="s">
        <v>252</v>
      </c>
      <c r="E15" s="396">
        <f>G25*50</f>
        <v>500</v>
      </c>
      <c r="F15" s="400">
        <f>F14*COS((F13)*PI()/180)</f>
        <v>541</v>
      </c>
      <c r="G15" s="401">
        <f>F15-(VLOOKUP(F15,'Ballistics Table'!A4:A44,1))</f>
        <v>41.006080000000054</v>
      </c>
      <c r="K15" s="404" t="s">
        <v>254</v>
      </c>
      <c r="L15" s="405"/>
    </row>
    <row r="16" spans="1:13" ht="13.5" thickBot="1">
      <c r="A16" s="111" t="s">
        <v>53</v>
      </c>
      <c r="B16" s="22">
        <v>10</v>
      </c>
      <c r="D16" s="118" t="s">
        <v>106</v>
      </c>
      <c r="E16" s="365"/>
      <c r="F16" s="398" t="s">
        <v>178</v>
      </c>
      <c r="G16" s="359" t="s">
        <v>81</v>
      </c>
      <c r="H16" s="363"/>
      <c r="I16" s="406" t="s">
        <v>178</v>
      </c>
      <c r="J16" s="407"/>
      <c r="K16" s="393" t="s">
        <v>253</v>
      </c>
      <c r="L16" s="393" t="s">
        <v>81</v>
      </c>
      <c r="M16" s="364"/>
    </row>
    <row r="17" spans="1:12" ht="13.5" thickBot="1">
      <c r="A17" s="108" t="s">
        <v>86</v>
      </c>
      <c r="B17" s="381">
        <v>3</v>
      </c>
      <c r="C17" s="366"/>
      <c r="D17" s="107" t="str">
        <f>CONCATENATE("Trajectory (MOA)     ",IF(SUM(B18)&gt;0,"Slope","No Slope"))</f>
        <v>Trajectory (MOA)     No Slope</v>
      </c>
      <c r="E17" s="104">
        <f>IF(E14&gt;'Ballistics Table'!B44,"Too Far",IF(SUM(E14)=0," ",-(VLOOKUP(COS(B18*PI()/180)*(E14+B9/2),'Ballistics Table'!B4:G44,6))))</f>
        <v>8.828511991781948</v>
      </c>
      <c r="F17" s="394">
        <f>I17</f>
        <v>9.424950201306002</v>
      </c>
      <c r="G17" s="361">
        <f>E17/B13</f>
        <v>2.568110038473293</v>
      </c>
      <c r="H17" s="361">
        <f>VLOOKUP(G17,'Ballistics Table'!H5:I44,2)</f>
        <v>1.4545116468681059</v>
      </c>
      <c r="I17" s="361">
        <f>E17+K17</f>
        <v>9.424950201306002</v>
      </c>
      <c r="J17" s="390">
        <f>I17/B13</f>
        <v>2.7416068808215353</v>
      </c>
      <c r="K17" s="392">
        <f>(G15/100)*H17</f>
        <v>0.5964382095240538</v>
      </c>
      <c r="L17" s="392">
        <f>K17/B13</f>
        <v>0.17349684234824234</v>
      </c>
    </row>
    <row r="18" spans="1:12" ht="13.5" thickBot="1">
      <c r="A18" s="112" t="s">
        <v>87</v>
      </c>
      <c r="B18" s="24">
        <v>0</v>
      </c>
      <c r="C18" s="366"/>
      <c r="D18" s="108" t="str">
        <f>CONCATENATE("Windage in (MOA) =    ",VLOOKUP(SUM(B17),Calculations!G20:I44,3))</f>
        <v>Windage in (MOA) =    Right</v>
      </c>
      <c r="E18" s="350">
        <f>IF(SUM(E14)=0," ",VLOOKUP(H31,'Ballistics Table'!B4:K44,10)*(VLOOKUP(SUM(B17),Calculations!G20:I44,2)))</f>
        <v>2.743081250658742</v>
      </c>
      <c r="F18" s="394">
        <f>I18</f>
        <v>2.8775402727698376</v>
      </c>
      <c r="G18" s="422">
        <f>E18/B13</f>
        <v>0.7979299912286487</v>
      </c>
      <c r="H18" s="361">
        <f>VLOOKUP(G18,'Ballistics Table'!L5:M44,2)</f>
        <v>0.32790020921554985</v>
      </c>
      <c r="I18" s="361">
        <f>E18+K18</f>
        <v>2.8775402727698376</v>
      </c>
      <c r="J18" s="390">
        <f>I18/B13</f>
        <v>0.83704253530949</v>
      </c>
      <c r="K18" s="391">
        <f>(G14/100)*H18</f>
        <v>0.13445902211109592</v>
      </c>
      <c r="L18" s="391">
        <f>K18/B13</f>
        <v>0.03911254408084135</v>
      </c>
    </row>
    <row r="19" spans="1:7" ht="13.5" thickBot="1">
      <c r="A19" s="113" t="s">
        <v>140</v>
      </c>
      <c r="B19" s="50">
        <v>6</v>
      </c>
      <c r="D19" s="119" t="s">
        <v>141</v>
      </c>
      <c r="E19" s="351">
        <f>IF(SUM(E14)=0," ",VLOOKUP((E14+B9/2),'Ballistics Table'!B4:P44,14))</f>
        <v>0.6441311419121885</v>
      </c>
      <c r="F19" s="69"/>
      <c r="G19" s="69"/>
    </row>
    <row r="20" spans="1:7" ht="13.5" thickBot="1">
      <c r="A20" s="114" t="s">
        <v>199</v>
      </c>
      <c r="B20" s="51">
        <v>0</v>
      </c>
      <c r="D20" s="120" t="s">
        <v>238</v>
      </c>
      <c r="E20" s="81">
        <v>0</v>
      </c>
      <c r="F20" s="69"/>
      <c r="G20" s="69"/>
    </row>
    <row r="21" spans="4:7" ht="13.5" thickBot="1">
      <c r="D21" s="121" t="s">
        <v>239</v>
      </c>
      <c r="E21" s="81">
        <v>1</v>
      </c>
      <c r="F21" s="69"/>
      <c r="G21" s="69"/>
    </row>
    <row r="22" spans="4:8" ht="13.5" thickBot="1">
      <c r="D22" s="121" t="s">
        <v>240</v>
      </c>
      <c r="E22" s="81">
        <v>0</v>
      </c>
      <c r="F22" s="362"/>
      <c r="G22" s="424" t="s">
        <v>251</v>
      </c>
      <c r="H22" s="425">
        <f>(B11-32)*(5/9)</f>
        <v>15</v>
      </c>
    </row>
    <row r="23" spans="1:7" ht="13.5" thickBot="1">
      <c r="A23" s="264"/>
      <c r="B23" s="264"/>
      <c r="C23" s="369"/>
      <c r="D23" s="122" t="s">
        <v>241</v>
      </c>
      <c r="E23" s="82">
        <v>1</v>
      </c>
      <c r="F23" s="369"/>
      <c r="G23" s="423" t="str">
        <f>IF(SUM(E20)&gt;0,"Down (MOA)","UP (MOA)")</f>
        <v>UP (MOA)</v>
      </c>
    </row>
    <row r="24" spans="1:11" ht="13.5" thickBot="1">
      <c r="A24" s="264"/>
      <c r="B24" s="264"/>
      <c r="C24" s="369"/>
      <c r="D24" s="103" t="s">
        <v>236</v>
      </c>
      <c r="E24" s="104">
        <f>IF(SUM(E20)&gt;0,(((E20/$B$14)/($E$14/100))),(((E21/$B$14)/($E$14/100))))</f>
        <v>0.1746375359558749</v>
      </c>
      <c r="F24" s="369"/>
      <c r="G24" s="106" t="str">
        <f>IF(SUM(E22)&gt;0,"Left (MOA)","Right (MOA)")</f>
        <v>Right (MOA)</v>
      </c>
      <c r="K24" s="370"/>
    </row>
    <row r="25" spans="1:8" ht="13.5" thickBot="1">
      <c r="A25" s="371"/>
      <c r="D25" s="105" t="s">
        <v>237</v>
      </c>
      <c r="E25" s="104">
        <f>IF(SUM(E22)&gt;0,(((E22/$B$14)/($E$14/100))),(((E23/$B$14)/($E$14/100))))</f>
        <v>0.1746375359558749</v>
      </c>
      <c r="G25" s="380">
        <f>ROUNDDOWN(G26,0)</f>
        <v>10</v>
      </c>
      <c r="H25" s="380">
        <f>ROUNDDOWN(H26,0)</f>
        <v>10</v>
      </c>
    </row>
    <row r="26" spans="7:8" ht="12.75">
      <c r="G26" s="379">
        <f>F15/50</f>
        <v>10.82</v>
      </c>
      <c r="H26" s="379">
        <f>F14/50</f>
        <v>10.82</v>
      </c>
    </row>
    <row r="27" spans="1:2" ht="12.75">
      <c r="A27" s="360"/>
      <c r="B27" s="360"/>
    </row>
    <row r="28" spans="1:7" ht="13.5" thickBot="1">
      <c r="A28" s="360"/>
      <c r="B28" s="360"/>
      <c r="C28" s="408" t="s">
        <v>256</v>
      </c>
      <c r="D28" s="408"/>
      <c r="E28" s="408"/>
      <c r="F28" s="409"/>
      <c r="G28" s="360">
        <f>1/G29</f>
        <v>1.0936132983377078</v>
      </c>
    </row>
    <row r="29" spans="1:7" ht="13.5" thickBot="1">
      <c r="A29" s="360"/>
      <c r="B29" s="360"/>
      <c r="C29" s="402" t="s">
        <v>259</v>
      </c>
      <c r="D29" s="402" t="s">
        <v>255</v>
      </c>
      <c r="E29" s="402" t="s">
        <v>257</v>
      </c>
      <c r="F29" s="402" t="s">
        <v>258</v>
      </c>
      <c r="G29" s="360">
        <f>0.9144</f>
        <v>0.9144</v>
      </c>
    </row>
    <row r="30" spans="1:6" ht="13.5" thickBot="1">
      <c r="A30" s="360"/>
      <c r="B30" s="360"/>
      <c r="C30" s="403">
        <f>D30*2</f>
        <v>75.39960161044802</v>
      </c>
      <c r="D30" s="403">
        <f>F17/0.25</f>
        <v>37.69980080522401</v>
      </c>
      <c r="E30" s="403">
        <f>G17*10</f>
        <v>25.68110038473293</v>
      </c>
      <c r="F30" s="403">
        <f>E30*2</f>
        <v>51.36220076946586</v>
      </c>
    </row>
    <row r="31" spans="1:8" ht="13.5" thickBot="1">
      <c r="A31" s="360"/>
      <c r="B31" s="360"/>
      <c r="C31" s="403">
        <f>D31*2</f>
        <v>23.0203221821587</v>
      </c>
      <c r="D31" s="403">
        <f>F18/0.25</f>
        <v>11.51016109107935</v>
      </c>
      <c r="E31" s="403">
        <f>G18*10</f>
        <v>7.979299912286487</v>
      </c>
      <c r="F31" s="403">
        <f>E31*2</f>
        <v>15.958599824572975</v>
      </c>
      <c r="G31" s="360">
        <f>H26*50</f>
        <v>541</v>
      </c>
      <c r="H31" s="360">
        <f>G31/G29</f>
        <v>591.6447944006999</v>
      </c>
    </row>
    <row r="32" spans="1:2" ht="12.75">
      <c r="A32" s="360"/>
      <c r="B32" s="360"/>
    </row>
    <row r="33" ht="12.75"/>
    <row r="34" ht="12.75"/>
    <row r="35" ht="12.75">
      <c r="A35" s="370">
        <f>9144*PI()/18</f>
        <v>1595.929068023615</v>
      </c>
    </row>
    <row r="36" ht="12.75">
      <c r="A36" s="360">
        <f>A35/60</f>
        <v>26.598817800393583</v>
      </c>
    </row>
    <row r="37" ht="12.75">
      <c r="A37" s="372">
        <f>A36/25.4</f>
        <v>1.0471975511965979</v>
      </c>
    </row>
    <row r="38" ht="12.75">
      <c r="A38" s="69">
        <f>3.6/1.60935</f>
        <v>2.2369279522788705</v>
      </c>
    </row>
  </sheetData>
  <sheetProtection/>
  <mergeCells count="4">
    <mergeCell ref="K15:L15"/>
    <mergeCell ref="I16:J16"/>
    <mergeCell ref="C28:F28"/>
    <mergeCell ref="D1:E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S46"/>
  <sheetViews>
    <sheetView workbookViewId="0" topLeftCell="A1">
      <pane ySplit="3" topLeftCell="BM9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5.375" style="0" customWidth="1"/>
    <col min="2" max="2" width="4.875" style="1" customWidth="1"/>
    <col min="3" max="3" width="4.625" style="1" customWidth="1"/>
    <col min="4" max="4" width="5.625" style="1" bestFit="1" customWidth="1"/>
    <col min="5" max="6" width="6.75390625" style="1" bestFit="1" customWidth="1"/>
    <col min="7" max="7" width="6.00390625" style="1" bestFit="1" customWidth="1"/>
    <col min="8" max="8" width="4.75390625" style="1" customWidth="1"/>
    <col min="9" max="9" width="7.625" style="1" bestFit="1" customWidth="1"/>
    <col min="10" max="10" width="5.50390625" style="1" customWidth="1"/>
    <col min="11" max="11" width="5.375" style="1" bestFit="1" customWidth="1"/>
    <col min="12" max="12" width="4.875" style="1" customWidth="1"/>
    <col min="13" max="13" width="7.625" style="1" bestFit="1" customWidth="1"/>
    <col min="14" max="14" width="6.875" style="1" customWidth="1"/>
    <col min="15" max="15" width="7.25390625" style="1" bestFit="1" customWidth="1"/>
    <col min="16" max="16" width="8.75390625" style="1" bestFit="1" customWidth="1"/>
    <col min="17" max="17" width="5.50390625" style="1" bestFit="1" customWidth="1"/>
    <col min="18" max="18" width="5.875" style="0" bestFit="1" customWidth="1"/>
  </cols>
  <sheetData>
    <row r="1" spans="1:17" ht="21" thickBot="1">
      <c r="A1" s="416" t="s">
        <v>99</v>
      </c>
      <c r="B1" s="416"/>
      <c r="C1" s="416"/>
      <c r="D1" s="416"/>
      <c r="E1" s="416"/>
      <c r="F1" s="416"/>
      <c r="G1" s="416"/>
      <c r="H1" s="412" t="str">
        <f>'Cartridge Info'!A3</f>
        <v>6,5-284 Norma</v>
      </c>
      <c r="I1" s="412"/>
      <c r="J1" s="412"/>
      <c r="K1" s="412"/>
      <c r="L1" s="412"/>
      <c r="M1" s="412"/>
      <c r="N1" s="412"/>
      <c r="O1" s="413"/>
      <c r="P1" s="217" t="s">
        <v>104</v>
      </c>
      <c r="Q1" s="218">
        <f>'Cartridge Info'!B19</f>
        <v>6</v>
      </c>
    </row>
    <row r="2" spans="1:17" ht="12.75">
      <c r="A2" s="414" t="s">
        <v>44</v>
      </c>
      <c r="B2" s="415"/>
      <c r="C2" s="356" t="s">
        <v>102</v>
      </c>
      <c r="D2" s="357" t="s">
        <v>43</v>
      </c>
      <c r="E2" s="358" t="s">
        <v>45</v>
      </c>
      <c r="F2" s="359" t="s">
        <v>50</v>
      </c>
      <c r="G2" s="356" t="s">
        <v>46</v>
      </c>
      <c r="H2" s="136" t="s">
        <v>57</v>
      </c>
      <c r="I2" s="220" t="s">
        <v>59</v>
      </c>
      <c r="J2" s="142" t="s">
        <v>60</v>
      </c>
      <c r="K2" s="221">
        <f>SUM('Cartridge Info'!B16)</f>
        <v>10</v>
      </c>
      <c r="L2" s="222" t="s">
        <v>54</v>
      </c>
      <c r="M2" s="220" t="s">
        <v>59</v>
      </c>
      <c r="N2" s="187" t="s">
        <v>232</v>
      </c>
      <c r="O2" s="134" t="s">
        <v>56</v>
      </c>
      <c r="P2" s="223" t="s">
        <v>200</v>
      </c>
      <c r="Q2" s="224">
        <f>'Cartridge Info'!B20</f>
        <v>0</v>
      </c>
    </row>
    <row r="3" spans="1:17" ht="13.5" thickBot="1">
      <c r="A3" s="225" t="s">
        <v>250</v>
      </c>
      <c r="B3" s="225" t="s">
        <v>37</v>
      </c>
      <c r="C3" s="226" t="s">
        <v>38</v>
      </c>
      <c r="D3" s="227" t="s">
        <v>39</v>
      </c>
      <c r="E3" s="228" t="s">
        <v>42</v>
      </c>
      <c r="F3" s="229" t="s">
        <v>51</v>
      </c>
      <c r="G3" s="226" t="s">
        <v>42</v>
      </c>
      <c r="H3" s="229" t="s">
        <v>42</v>
      </c>
      <c r="I3" s="227" t="s">
        <v>46</v>
      </c>
      <c r="J3" s="230" t="s">
        <v>55</v>
      </c>
      <c r="K3" s="229" t="s">
        <v>46</v>
      </c>
      <c r="L3" s="231" t="s">
        <v>58</v>
      </c>
      <c r="M3" s="227" t="s">
        <v>46</v>
      </c>
      <c r="N3" s="389" t="str">
        <f>CONCATENATE('Cartridge Info'!B18," Deg")</f>
        <v>0 Deg</v>
      </c>
      <c r="O3" s="190" t="s">
        <v>103</v>
      </c>
      <c r="P3" s="230" t="s">
        <v>52</v>
      </c>
      <c r="Q3" s="231" t="s">
        <v>55</v>
      </c>
    </row>
    <row r="4" spans="1:17" ht="12.75">
      <c r="A4" s="233">
        <f>B4*0.9144</f>
        <v>0</v>
      </c>
      <c r="B4" s="233">
        <f>'Cartridge Info'!B8</f>
        <v>0</v>
      </c>
      <c r="C4" s="234">
        <f>TRUNC(Calculations!S71+(-Calculations!M71-SQRT(Calculations!M71^2-4*Calculations!N71*(Calculations!L71-Calculations!J71)))/(2*Calculations!N71))</f>
        <v>3006</v>
      </c>
      <c r="D4" s="235">
        <f>TRUNC(C4^2*'Cartridge Info'!$B$6/450400.1)</f>
        <v>2888</v>
      </c>
      <c r="E4" s="342">
        <f>-12*Calculations!U71*Calculations!T71^2</f>
        <v>0</v>
      </c>
      <c r="F4" s="340">
        <f>E4-'Cartridge Info'!$B$12+(B4/100*Calculations!$B$68)</f>
        <v>-2</v>
      </c>
      <c r="G4" s="338">
        <f>IF(B4&gt;0,SUM(('Ballistics Table'!F4/'Cartridge Info'!$B$14)/(B4/100)),0)</f>
        <v>0</v>
      </c>
      <c r="H4" s="236">
        <f>IF(B4&gt;0,ABS(SUM(G4/'Cartridge Info'!$B$13)),0)</f>
        <v>0</v>
      </c>
      <c r="I4" s="352">
        <f>IF(B4&gt;0,SUM((G4/(B4/100))),0)</f>
        <v>0</v>
      </c>
      <c r="J4" s="342">
        <f>ABS(($K$2*35.2)*(Calculations!T71-(3*B4)/'Cartridge Info'!$B$5))/2</f>
        <v>0</v>
      </c>
      <c r="K4" s="340">
        <f>IF(J4&gt;0,SUM((J4/'Cartridge Info'!$B$14)/(B4/100)),0)</f>
        <v>0</v>
      </c>
      <c r="L4" s="237">
        <f>SUM(K4/'Cartridge Info'!$B$13)</f>
        <v>0</v>
      </c>
      <c r="M4" s="386"/>
      <c r="N4" s="238">
        <f>ABS(E4)-(ABS(E4)*COS('Cartridge Info'!$B$18*PI()/180))</f>
        <v>0</v>
      </c>
      <c r="O4" s="346">
        <f>SUM(B4-0)*3/'Ballistics Table'!C4</f>
        <v>0</v>
      </c>
      <c r="P4" s="239">
        <f>IF(B4&gt;0,(((O4*('Cartridge Info'!$B$19*(1.466*12)))-'Cartridge Info'!$B$20)/((B4/100)*'Cartridge Info'!$B$13)),0)</f>
        <v>0</v>
      </c>
      <c r="Q4" s="240">
        <f>(O4*('Cartridge Info'!$B$19*(1.466*12)))-'Cartridge Info'!$B$20</f>
        <v>0</v>
      </c>
    </row>
    <row r="5" spans="1:17" ht="12.75">
      <c r="A5" s="241">
        <f>B5*0.9144</f>
        <v>49.999392</v>
      </c>
      <c r="B5" s="241">
        <f>B4+'Cartridge Info'!$B$9</f>
        <v>54.68</v>
      </c>
      <c r="C5" s="242">
        <f>TRUNC(Calculations!S72+(-Calculations!M72-SQRT(Calculations!M72^2-4*Calculations!N72*(Calculations!L72-Calculations!J72)))/(2*Calculations!N72))</f>
        <v>2921</v>
      </c>
      <c r="D5" s="243">
        <f>TRUNC(C5^2*'Cartridge Info'!$B$6/450400.1)</f>
        <v>2727</v>
      </c>
      <c r="E5" s="343">
        <f>-12*Calculations!U72*Calculations!T72^2</f>
        <v>-0.5811539768093764</v>
      </c>
      <c r="F5" s="341">
        <f>E5-'Cartridge Info'!$B$12+(B5/100*Calculations!$B$68)</f>
        <v>-0.3778700366195027</v>
      </c>
      <c r="G5" s="339">
        <f>IF(B5&gt;0,SUM(('Ballistics Table'!F5/'Cartridge Info'!$B$14)/(B5/100)),0)</f>
        <v>-0.65991094558496</v>
      </c>
      <c r="H5" s="244">
        <f>IF(B5&gt;0,ABS(SUM(G5/'Cartridge Info'!$B$13)),0)</f>
        <v>0.1919603128401115</v>
      </c>
      <c r="I5" s="353">
        <f aca="true" t="shared" si="0" ref="I5:I44">ABS(G5-G4)</f>
        <v>0.65991094558496</v>
      </c>
      <c r="J5" s="343">
        <f>ABS(($K$2*35.2)*(Calculations!T72-(3*B5)/'Cartridge Info'!$B$5))/2</f>
        <v>0.10060719751576941</v>
      </c>
      <c r="K5" s="341">
        <f>IF(J5&gt;0,SUM((J5/'Cartridge Info'!$B$14)/(B5/100)),0)</f>
        <v>0.17570006724861761</v>
      </c>
      <c r="L5" s="245">
        <f>SUM(K5/'Cartridge Info'!$B$13)</f>
        <v>0.0511090778243972</v>
      </c>
      <c r="M5" s="387">
        <f aca="true" t="shared" si="1" ref="M5:M44">K5-K4</f>
        <v>0.17570006724861761</v>
      </c>
      <c r="N5" s="246">
        <f>ABS(E5)-(ABS(E5)*COS('Cartridge Info'!$B$18*PI()/180))</f>
        <v>0</v>
      </c>
      <c r="O5" s="347">
        <f>SUM(((B5-B4)*3)/'Ballistics Table'!C5)+O4</f>
        <v>0.05615884970900376</v>
      </c>
      <c r="P5" s="247">
        <f>IF(B5&gt;0,(((O5*('Cartridge Info'!$B$19*(1.466*12)))-'Cartridge Info'!$B$20)/((B5/100)*'Cartridge Info'!$B$13)),0)</f>
        <v>3.153423368820703</v>
      </c>
      <c r="Q5" s="248">
        <f>(O5*('Cartridge Info'!$B$19*(1.466*12)))-'Cartridge Info'!$B$20</f>
        <v>5.927678904484765</v>
      </c>
    </row>
    <row r="6" spans="1:19" ht="12.75">
      <c r="A6" s="233">
        <f aca="true" t="shared" si="2" ref="A6:A44">B6*0.9144</f>
        <v>99.998784</v>
      </c>
      <c r="B6" s="249">
        <f>B5+'Cartridge Info'!$B$9</f>
        <v>109.36</v>
      </c>
      <c r="C6" s="250">
        <f>TRUNC(Calculations!S73+(-Calculations!M73-SQRT(Calculations!M73^2-4*Calculations!N73*(Calculations!L73-Calculations!J73)))/(2*Calculations!N73))</f>
        <v>2838</v>
      </c>
      <c r="D6" s="251">
        <f>TRUNC(C6^2*'Cartridge Info'!$B$6/450400.1)</f>
        <v>2575</v>
      </c>
      <c r="E6" s="344">
        <f>-12*Calculations!U73*Calculations!T73^2</f>
        <v>-2.406567880379747</v>
      </c>
      <c r="F6" s="340">
        <f>E6-'Cartridge Info'!$B$12+((B6/100)*Calculations!$B$68)</f>
        <v>0</v>
      </c>
      <c r="G6" s="338">
        <f>IF(B6&gt;0,SUM(('Ballistics Table'!F6/'Cartridge Info'!$B$14)/(B6/100)),0)</f>
        <v>0</v>
      </c>
      <c r="H6" s="236">
        <f>IF(B6&gt;0,ABS(SUM(G6/'Cartridge Info'!$B$13)),0)</f>
        <v>0</v>
      </c>
      <c r="I6" s="354">
        <f t="shared" si="0"/>
        <v>0.65991094558496</v>
      </c>
      <c r="J6" s="344">
        <f>ABS(($K$2*35.2)*(Calculations!T73-(3*B6)/'Cartridge Info'!$B$5))/2</f>
        <v>0.6334515920715584</v>
      </c>
      <c r="K6" s="340">
        <f>IF(J6&gt;0,SUM((J6/'Cartridge Info'!$B$14)/(B6/100)),0)</f>
        <v>0.553128851980355</v>
      </c>
      <c r="L6" s="252">
        <f>SUM(K6/'Cartridge Info'!$B$13)</f>
        <v>0.16089866091389254</v>
      </c>
      <c r="M6" s="388">
        <f t="shared" si="1"/>
        <v>0.37742878473173735</v>
      </c>
      <c r="N6" s="253">
        <f>ABS(E6)-(ABS(E6)*COS('Cartridge Info'!$B$18*PI()/180))</f>
        <v>0</v>
      </c>
      <c r="O6" s="348">
        <f>SUM(((B6-B5)*3)/'Ballistics Table'!C6)+O5</f>
        <v>0.11396011820794669</v>
      </c>
      <c r="P6" s="239">
        <f>IF(B6&gt;0,(((O6*('Cartridge Info'!$B$19*(1.466*12)))-'Cartridge Info'!$B$20)/((B6/100)*'Cartridge Info'!$B$13)),0)</f>
        <v>3.199535796518399</v>
      </c>
      <c r="Q6" s="254">
        <f>(O6*('Cartridge Info'!$B$19*(1.466*12)))-'Cartridge Info'!$B$20</f>
        <v>12.028718397085187</v>
      </c>
      <c r="S6" s="315"/>
    </row>
    <row r="7" spans="1:19" ht="12.75">
      <c r="A7" s="241">
        <f t="shared" si="2"/>
        <v>149.998176</v>
      </c>
      <c r="B7" s="241">
        <f>B6+'Cartridge Info'!$B$9</f>
        <v>164.04</v>
      </c>
      <c r="C7" s="242">
        <f>TRUNC(Calculations!S74+(-Calculations!M74-SQRT(Calculations!M74^2-4*Calculations!N74*(Calculations!L74-Calculations!J74)))/(2*Calculations!N74))</f>
        <v>2757</v>
      </c>
      <c r="D7" s="243">
        <f>TRUNC(C7^2*'Cartridge Info'!$B$6/450400.1)</f>
        <v>2430</v>
      </c>
      <c r="E7" s="343">
        <f>-12*Calculations!U74*Calculations!T74^2</f>
        <v>-5.510644832747417</v>
      </c>
      <c r="F7" s="341">
        <f>E7-'Cartridge Info'!$B$12+((B7/100)*Calculations!$B$68)</f>
        <v>-0.9007930121777958</v>
      </c>
      <c r="G7" s="339">
        <f>IF(B7&gt;0,SUM(('Ballistics Table'!F7/'Cartridge Info'!$B$14)/(B7/100)),0)</f>
        <v>-0.5243806166449674</v>
      </c>
      <c r="H7" s="244">
        <f>IF(B7&gt;0,ABS(SUM(G7/'Cartridge Info'!$B$13)),0)</f>
        <v>0.15253613823488105</v>
      </c>
      <c r="I7" s="353">
        <f t="shared" si="0"/>
        <v>0.5243806166449674</v>
      </c>
      <c r="J7" s="343">
        <f>ABS(($K$2*35.2)*(Calculations!T74-(3*B7)/'Cartridge Info'!$B$5))/2</f>
        <v>1.3546132735873186</v>
      </c>
      <c r="K7" s="341">
        <f>IF(J7&gt;0,SUM((J7/'Cartridge Info'!$B$14)/(B7/100)),0)</f>
        <v>0.7885640031796479</v>
      </c>
      <c r="L7" s="245">
        <f>SUM(K7/'Cartridge Info'!$B$13)</f>
        <v>0.22938397030319818</v>
      </c>
      <c r="M7" s="387">
        <f t="shared" si="1"/>
        <v>0.23543515119929292</v>
      </c>
      <c r="N7" s="246">
        <f>ABS(E7)-(ABS(E7)*COS('Cartridge Info'!$B$18*PI()/180))</f>
        <v>0</v>
      </c>
      <c r="O7" s="347">
        <f>SUM(((B7-B6)*3)/'Ballistics Table'!C7)+O6</f>
        <v>0.17345957413830576</v>
      </c>
      <c r="P7" s="247">
        <f>IF(B7&gt;0,(((O7*('Cartridge Info'!$B$19*(1.466*12)))-'Cartridge Info'!$B$20)/((B7/100)*'Cartridge Info'!$B$13)),0)</f>
        <v>3.246692061700849</v>
      </c>
      <c r="Q7" s="248">
        <f>(O7*('Cartridge Info'!$B$19*(1.466*12)))-'Cartridge Info'!$B$20</f>
        <v>18.30900496944645</v>
      </c>
      <c r="S7" s="316"/>
    </row>
    <row r="8" spans="1:19" ht="12.75">
      <c r="A8" s="233">
        <f t="shared" si="2"/>
        <v>199.997568</v>
      </c>
      <c r="B8" s="249">
        <f>B7+'Cartridge Info'!$B$9</f>
        <v>218.72</v>
      </c>
      <c r="C8" s="250">
        <f>TRUNC(Calculations!S75+(-Calculations!M75-SQRT(Calculations!M75^2-4*Calculations!N75*(Calculations!L75-Calculations!J75)))/(2*Calculations!N75))</f>
        <v>2677</v>
      </c>
      <c r="D8" s="251">
        <f>TRUNC(C8^2*'Cartridge Info'!$B$6/450400.1)</f>
        <v>2291</v>
      </c>
      <c r="E8" s="344">
        <f>-12*Calculations!U75*Calculations!T75^2</f>
        <v>-10.015384866252338</v>
      </c>
      <c r="F8" s="340">
        <f>E8-'Cartridge Info'!$B$12+((B8/100)*Calculations!$B$68)</f>
        <v>-3.202249105492843</v>
      </c>
      <c r="G8" s="338">
        <f>IF(B8&gt;0,SUM(('Ballistics Table'!F8/'Cartridge Info'!$B$14)/(B8/100)),0)</f>
        <v>-1.3980992341371237</v>
      </c>
      <c r="H8" s="236">
        <f>IF(B8&gt;0,ABS(SUM(G8/'Cartridge Info'!$B$13)),0)</f>
        <v>0.4066905817550652</v>
      </c>
      <c r="I8" s="354">
        <f t="shared" si="0"/>
        <v>0.8737186174921563</v>
      </c>
      <c r="J8" s="344">
        <f>ABS(($K$2*35.2)*(Calculations!T75-(3*B8)/'Cartridge Info'!$B$5))/2</f>
        <v>2.4481847181030916</v>
      </c>
      <c r="K8" s="340">
        <f>IF(J8&gt;0,SUM((J8/'Cartridge Info'!$B$14)/(B8/100)),0)</f>
        <v>1.068875364360311</v>
      </c>
      <c r="L8" s="252">
        <f>SUM(K8/'Cartridge Info'!$B$13)</f>
        <v>0.3109232400256914</v>
      </c>
      <c r="M8" s="388">
        <f t="shared" si="1"/>
        <v>0.28031136118066313</v>
      </c>
      <c r="N8" s="253">
        <f>ABS(E8)-(ABS(E8)*COS('Cartridge Info'!$B$18*PI()/180))</f>
        <v>0</v>
      </c>
      <c r="O8" s="348">
        <f>SUM(((B8-B7)*3)/'Ballistics Table'!C8)+O7</f>
        <v>0.23473712363400992</v>
      </c>
      <c r="P8" s="239">
        <f>IF(B8&gt;0,(((O8*('Cartridge Info'!$B$19*(1.466*12)))-'Cartridge Info'!$B$20)/((B8/100)*'Cartridge Info'!$B$13)),0)</f>
        <v>3.295231005588793</v>
      </c>
      <c r="Q8" s="254">
        <f>(O8*('Cartridge Info'!$B$19*(1.466*12)))-'Cartridge Info'!$B$20</f>
        <v>24.776972873817012</v>
      </c>
      <c r="S8" s="316"/>
    </row>
    <row r="9" spans="1:19" ht="12.75">
      <c r="A9" s="241">
        <f t="shared" si="2"/>
        <v>249.99695999999997</v>
      </c>
      <c r="B9" s="241">
        <f>B8+'Cartridge Info'!$B$9</f>
        <v>273.4</v>
      </c>
      <c r="C9" s="242">
        <f>TRUNC(Calculations!S76+(-Calculations!M76-SQRT(Calculations!M76^2-4*Calculations!N76*(Calculations!L76-Calculations!J76)))/(2*Calculations!N76))</f>
        <v>2599</v>
      </c>
      <c r="D9" s="243">
        <f>TRUNC(C9^2*'Cartridge Info'!$B$6/450400.1)</f>
        <v>2159</v>
      </c>
      <c r="E9" s="343">
        <f>-12*Calculations!U76*Calculations!T76^2</f>
        <v>-15.922279503548236</v>
      </c>
      <c r="F9" s="341">
        <f>E9-'Cartridge Info'!$B$12+((B9/100)*Calculations!$B$68)</f>
        <v>-6.905859802598867</v>
      </c>
      <c r="G9" s="339">
        <f>IF(B9&gt;0,SUM(('Ballistics Table'!F9/'Cartridge Info'!$B$14)/(B9/100)),0)</f>
        <v>-2.412074009985143</v>
      </c>
      <c r="H9" s="244">
        <f>IF(B9&gt;0,ABS(SUM(G9/'Cartridge Info'!$B$13)),0)</f>
        <v>0.7016438879337221</v>
      </c>
      <c r="I9" s="245">
        <f t="shared" si="0"/>
        <v>1.0139747758480193</v>
      </c>
      <c r="J9" s="343">
        <f>ABS(($K$2*35.2)*(Calculations!T76-(3*B9)/'Cartridge Info'!$B$5))/2</f>
        <v>3.7526128499788856</v>
      </c>
      <c r="K9" s="341">
        <f>IF(J9&gt;0,SUM((J9/'Cartridge Info'!$B$14)/(B9/100)),0)</f>
        <v>1.3107100612676765</v>
      </c>
      <c r="L9" s="245">
        <f>SUM(K9/'Cartridge Info'!$B$13)</f>
        <v>0.38127010180229265</v>
      </c>
      <c r="M9" s="387">
        <f t="shared" si="1"/>
        <v>0.24183469690736548</v>
      </c>
      <c r="N9" s="246">
        <f>ABS(E9)-(ABS(E9)*COS('Cartridge Info'!$B$18*PI()/180))</f>
        <v>0</v>
      </c>
      <c r="O9" s="347">
        <f>SUM(((B9-B8)*3)/'Ballistics Table'!C9)+O8</f>
        <v>0.2978537069352796</v>
      </c>
      <c r="P9" s="247">
        <f>IF(B9&gt;0,(((O9*('Cartridge Info'!$B$19*(1.466*12)))-'Cartridge Info'!$B$20)/((B9/100)*'Cartridge Info'!$B$13)),0)</f>
        <v>3.3450074024183425</v>
      </c>
      <c r="Q9" s="248">
        <f>(O9*('Cartridge Info'!$B$19*(1.466*12)))-'Cartridge Info'!$B$20</f>
        <v>31.439054474432634</v>
      </c>
      <c r="S9" s="317"/>
    </row>
    <row r="10" spans="1:17" ht="12.75">
      <c r="A10" s="233">
        <f t="shared" si="2"/>
        <v>299.996352</v>
      </c>
      <c r="B10" s="249">
        <f>B9+'Cartridge Info'!$B$9</f>
        <v>328.08</v>
      </c>
      <c r="C10" s="250">
        <f>TRUNC(Calculations!S77+(-Calculations!M77-SQRT(Calculations!M77^2-4*Calculations!N77*(Calculations!L77-Calculations!J77)))/(2*Calculations!N77))</f>
        <v>2522</v>
      </c>
      <c r="D10" s="251">
        <f>TRUNC(C10^2*'Cartridge Info'!$B$6/450400.1)</f>
        <v>2033</v>
      </c>
      <c r="E10" s="344">
        <f>-12*Calculations!U77*Calculations!T77^2</f>
        <v>-23.35125949725466</v>
      </c>
      <c r="F10" s="340">
        <f>E10-'Cartridge Info'!$B$12+((B10/100)*Calculations!$B$68)</f>
        <v>-12.131555856115417</v>
      </c>
      <c r="G10" s="338">
        <f>IF(B10&gt;0,SUM(('Ballistics Table'!F10/'Cartridge Info'!$B$14)/(B10/100)),0)</f>
        <v>-3.5310846413610073</v>
      </c>
      <c r="H10" s="236">
        <f>IF(B10&gt;0,ABS(SUM(G10/'Cartridge Info'!$B$13)),0)</f>
        <v>1.0271508859725453</v>
      </c>
      <c r="I10" s="252">
        <f t="shared" si="0"/>
        <v>1.1190106313758643</v>
      </c>
      <c r="J10" s="344">
        <f>ABS(($K$2*35.2)*(Calculations!T77-(3*B10)/'Cartridge Info'!$B$5))/2</f>
        <v>5.380393539734617</v>
      </c>
      <c r="K10" s="340">
        <f>IF(J10&gt;0,SUM((J10/'Cartridge Info'!$B$14)/(B10/100)),0)</f>
        <v>1.5660501602568841</v>
      </c>
      <c r="L10" s="252">
        <f>SUM(K10/'Cartridge Info'!$B$13)</f>
        <v>0.4555455257977913</v>
      </c>
      <c r="M10" s="388">
        <f t="shared" si="1"/>
        <v>0.2553400989892076</v>
      </c>
      <c r="N10" s="253">
        <f>ABS(E10)-(ABS(E10)*COS('Cartridge Info'!$B$18*PI()/180))</f>
        <v>0</v>
      </c>
      <c r="O10" s="348">
        <f>SUM(((B10-B9)*3)/'Ballistics Table'!C10)+O9</f>
        <v>0.36289732311291645</v>
      </c>
      <c r="P10" s="239">
        <f>IF(B10&gt;0,(((O10*('Cartridge Info'!$B$19*(1.466*12)))-'Cartridge Info'!$B$20)/((B10/100)*'Cartridge Info'!$B$13)),0)</f>
        <v>3.3962260775059856</v>
      </c>
      <c r="Q10" s="254">
        <f>(O10*('Cartridge Info'!$B$19*(1.466*12)))-'Cartridge Info'!$B$20</f>
        <v>38.30453824921455</v>
      </c>
    </row>
    <row r="11" spans="1:17" ht="12.75">
      <c r="A11" s="241">
        <f t="shared" si="2"/>
        <v>349.995744</v>
      </c>
      <c r="B11" s="241">
        <f>B10+'Cartridge Info'!$B$9</f>
        <v>382.76</v>
      </c>
      <c r="C11" s="242">
        <f>TRUNC(Calculations!S78+(-Calculations!M78-SQRT(Calculations!M78^2-4*Calculations!N78*(Calculations!L78-Calculations!J78)))/(2*Calculations!N78))</f>
        <v>2446</v>
      </c>
      <c r="D11" s="243">
        <f>TRUNC(C11^2*'Cartridge Info'!$B$6/450400.1)</f>
        <v>1912</v>
      </c>
      <c r="E11" s="343">
        <f>-12*Calculations!U78*Calculations!T78^2</f>
        <v>-32.364697935214544</v>
      </c>
      <c r="F11" s="341">
        <f>E11-'Cartridge Info'!$B$12+((B11/100)*Calculations!$B$68)</f>
        <v>-18.941710353885426</v>
      </c>
      <c r="G11" s="339">
        <f>IF(B11&gt;0,SUM(('Ballistics Table'!F11/'Cartridge Info'!$B$14)/(B11/100)),0)</f>
        <v>-4.725676925649179</v>
      </c>
      <c r="H11" s="244">
        <f>IF(B11&gt;0,ABS(SUM(G11/'Cartridge Info'!$B$13)),0)</f>
        <v>1.374643695635024</v>
      </c>
      <c r="I11" s="245">
        <f t="shared" si="0"/>
        <v>1.1945922842881713</v>
      </c>
      <c r="J11" s="343">
        <f>ABS(($K$2*35.2)*(Calculations!T78-(3*B11)/'Cartridge Info'!$B$5))/2</f>
        <v>7.313596068410392</v>
      </c>
      <c r="K11" s="341">
        <f>IF(J11&gt;0,SUM((J11/'Cartridge Info'!$B$14)/(B11/100)),0)</f>
        <v>1.8246341823570362</v>
      </c>
      <c r="L11" s="245">
        <f>SUM(K11/'Cartridge Info'!$B$13)</f>
        <v>0.5307645687760819</v>
      </c>
      <c r="M11" s="387">
        <f t="shared" si="1"/>
        <v>0.2585840221001521</v>
      </c>
      <c r="N11" s="246">
        <f>ABS(E11)-(ABS(E11)*COS('Cartridge Info'!$B$18*PI()/180))</f>
        <v>0</v>
      </c>
      <c r="O11" s="347">
        <f>SUM(((B11-B10)*3)/'Ballistics Table'!C11)+O10</f>
        <v>0.4299619183704798</v>
      </c>
      <c r="P11" s="247">
        <f>IF(B11&gt;0,(((O11*('Cartridge Info'!$B$19*(1.466*12)))-'Cartridge Info'!$B$20)/((B11/100)*'Cartridge Info'!$B$13)),0)</f>
        <v>3.4490225192035466</v>
      </c>
      <c r="Q11" s="248">
        <f>(O11*('Cartridge Info'!$B$19*(1.466*12)))-'Cartridge Info'!$B$20</f>
        <v>45.38334040784088</v>
      </c>
    </row>
    <row r="12" spans="1:17" ht="12.75">
      <c r="A12" s="233">
        <f t="shared" si="2"/>
        <v>399.995136</v>
      </c>
      <c r="B12" s="249">
        <f>B11+'Cartridge Info'!$B$9</f>
        <v>437.44</v>
      </c>
      <c r="C12" s="250">
        <f>TRUNC(Calculations!S79+(-Calculations!M79-SQRT(Calculations!M79^2-4*Calculations!N79*(Calculations!L79-Calculations!J79)))/(2*Calculations!N79))</f>
        <v>2372</v>
      </c>
      <c r="D12" s="251">
        <f>TRUNC(C12^2*'Cartridge Info'!$B$6/450400.1)</f>
        <v>1798</v>
      </c>
      <c r="E12" s="344">
        <f>-12*Calculations!U79*Calculations!T79^2</f>
        <v>-43.154584914507204</v>
      </c>
      <c r="F12" s="340">
        <f>E12-'Cartridge Info'!$B$12+((B12/100)*Calculations!$B$68)</f>
        <v>-27.528313392988213</v>
      </c>
      <c r="G12" s="338">
        <f>IF(B12&gt;0,SUM(('Ballistics Table'!F12/'Cartridge Info'!$B$14)/(B12/100)),0)</f>
        <v>-6.009419099501965</v>
      </c>
      <c r="H12" s="236">
        <f>IF(B12&gt;0,ABS(SUM(G12/'Cartridge Info'!$B$13)),0)</f>
        <v>1.7480691569757005</v>
      </c>
      <c r="I12" s="252">
        <f t="shared" si="0"/>
        <v>1.2837421738527866</v>
      </c>
      <c r="J12" s="344">
        <f>ABS(($K$2*35.2)*(Calculations!T79-(3*B12)/'Cartridge Info'!$B$5))/2</f>
        <v>9.669272357806165</v>
      </c>
      <c r="K12" s="340">
        <f>IF(J12&gt;0,SUM((J12/'Cartridge Info'!$B$14)/(B12/100)),0)</f>
        <v>2.110798041121082</v>
      </c>
      <c r="L12" s="252">
        <f>SUM(K12/'Cartridge Info'!$B$13)</f>
        <v>0.6140062610368258</v>
      </c>
      <c r="M12" s="388">
        <f t="shared" si="1"/>
        <v>0.2861638587640458</v>
      </c>
      <c r="N12" s="253">
        <f>ABS(E12)-(ABS(E12)*COS('Cartridge Info'!$B$18*PI()/180))</f>
        <v>0</v>
      </c>
      <c r="O12" s="348">
        <f>SUM(((B12-B11)*3)/'Ballistics Table'!C12)+O11</f>
        <v>0.4991187480500751</v>
      </c>
      <c r="P12" s="239">
        <f>IF(B12&gt;0,(((O12*('Cartridge Info'!$B$19*(1.466*12)))-'Cartridge Info'!$B$20)/((B12/100)*'Cartridge Info'!$B$13)),0)</f>
        <v>3.5033052049526225</v>
      </c>
      <c r="Q12" s="254">
        <f>(O12*('Cartridge Info'!$B$19*(1.466*12)))-'Cartridge Info'!$B$20</f>
        <v>52.682982094181526</v>
      </c>
    </row>
    <row r="13" spans="1:17" ht="12.75">
      <c r="A13" s="241">
        <f t="shared" si="2"/>
        <v>449.994528</v>
      </c>
      <c r="B13" s="241">
        <f>B12+'Cartridge Info'!$B$9</f>
        <v>492.12</v>
      </c>
      <c r="C13" s="242">
        <f>TRUNC(Calculations!S80+(-Calculations!M80-SQRT(Calculations!M80^2-4*Calculations!N80*(Calculations!L80-Calculations!J80)))/(2*Calculations!N80))</f>
        <v>2299</v>
      </c>
      <c r="D13" s="243">
        <f>TRUNC(C13^2*'Cartridge Info'!$B$6/450400.1)</f>
        <v>1689</v>
      </c>
      <c r="E13" s="343">
        <f>-12*Calculations!U80*Calculations!T80^2</f>
        <v>-55.83123461411921</v>
      </c>
      <c r="F13" s="341">
        <f>E13-'Cartridge Info'!$B$12+((B13/100)*Calculations!$B$68)</f>
        <v>-38.00167915241035</v>
      </c>
      <c r="G13" s="339">
        <f>IF(B13&gt;0,SUM(('Ballistics Table'!F13/'Cartridge Info'!$B$14)/(B13/100)),0)</f>
        <v>-7.374000344913842</v>
      </c>
      <c r="H13" s="244">
        <f>IF(B13&gt;0,ABS(SUM(G13/'Cartridge Info'!$B$13)),0)</f>
        <v>2.1450097510324007</v>
      </c>
      <c r="I13" s="245">
        <f t="shared" si="0"/>
        <v>1.3645812454118769</v>
      </c>
      <c r="J13" s="343">
        <f>ABS(($K$2*35.2)*(Calculations!T80-(3*B13)/'Cartridge Info'!$B$5))/2</f>
        <v>12.446559633701892</v>
      </c>
      <c r="K13" s="341">
        <f>IF(J13&gt;0,SUM((J13/'Cartridge Info'!$B$14)/(B13/100)),0)</f>
        <v>2.415181041443192</v>
      </c>
      <c r="L13" s="245">
        <f>SUM(K13/'Cartridge Info'!$B$13)</f>
        <v>0.7025476867488221</v>
      </c>
      <c r="M13" s="387">
        <f t="shared" si="1"/>
        <v>0.30438300032210996</v>
      </c>
      <c r="N13" s="246">
        <f>ABS(E13)-(ABS(E13)*COS('Cartridge Info'!$B$18*PI()/180))</f>
        <v>0</v>
      </c>
      <c r="O13" s="347">
        <f>SUM(((B13-B12)*3)/'Ballistics Table'!C13)+O12</f>
        <v>0.5704715101205405</v>
      </c>
      <c r="P13" s="247">
        <f>IF(B13&gt;0,(((O13*('Cartridge Info'!$B$19*(1.466*12)))-'Cartridge Info'!$B$20)/((B13/100)*'Cartridge Info'!$B$13)),0)</f>
        <v>3.559225701503741</v>
      </c>
      <c r="Q13" s="248">
        <f>(O13*('Cartridge Info'!$B$19*(1.466*12)))-'Cartridge Info'!$B$20</f>
        <v>60.214408836243294</v>
      </c>
    </row>
    <row r="14" spans="1:17" ht="12.75">
      <c r="A14" s="233">
        <f t="shared" si="2"/>
        <v>499.99391999999995</v>
      </c>
      <c r="B14" s="249">
        <f>B13+'Cartridge Info'!$B$9</f>
        <v>546.8</v>
      </c>
      <c r="C14" s="250">
        <f>TRUNC(Calculations!S81+(-Calculations!M81-SQRT(Calculations!M81^2-4*Calculations!N81*(Calculations!L81-Calculations!J81)))/(2*Calculations!N81))</f>
        <v>2227</v>
      </c>
      <c r="D14" s="251">
        <f>TRUNC(C14^2*'Cartridge Info'!$B$6/450400.1)</f>
        <v>1585</v>
      </c>
      <c r="E14" s="344">
        <f>-12*Calculations!U81*Calculations!T81^2</f>
        <v>-70.58557188723782</v>
      </c>
      <c r="F14" s="340">
        <f>E14-'Cartridge Info'!$B$12+((B14/100)*Calculations!$B$68)</f>
        <v>-50.55273248533908</v>
      </c>
      <c r="G14" s="338">
        <f>IF(B14&gt;0,SUM(('Ballistics Table'!F14/'Cartridge Info'!$B$14)/(B14/100)),0)</f>
        <v>-8.828511991781948</v>
      </c>
      <c r="H14" s="236">
        <f>IF(B14&gt;0,ABS(SUM(G14/'Cartridge Info'!$B$13)),0)</f>
        <v>2.568110038473293</v>
      </c>
      <c r="I14" s="252">
        <f t="shared" si="0"/>
        <v>1.4545116468681059</v>
      </c>
      <c r="J14" s="344">
        <f>ABS(($K$2*35.2)*(Calculations!T81-(3*B14)/'Cartridge Info'!$B$5))/2</f>
        <v>15.707092291337705</v>
      </c>
      <c r="K14" s="340">
        <f>IF(J14&gt;0,SUM((J14/'Cartridge Info'!$B$14)/(B14/100)),0)</f>
        <v>2.743081250658742</v>
      </c>
      <c r="L14" s="252">
        <f>SUM(K14/'Cartridge Info'!$B$13)</f>
        <v>0.7979299912286487</v>
      </c>
      <c r="M14" s="388">
        <f t="shared" si="1"/>
        <v>0.32790020921554985</v>
      </c>
      <c r="N14" s="253">
        <f>ABS(E14)-(ABS(E14)*COS('Cartridge Info'!$B$18*PI()/180))</f>
        <v>0</v>
      </c>
      <c r="O14" s="348">
        <f>SUM(((B14-B13)*3)/'Ballistics Table'!C14)+O13</f>
        <v>0.6441311419121885</v>
      </c>
      <c r="P14" s="239">
        <f>IF(B14&gt;0,(((O14*('Cartridge Info'!$B$19*(1.466*12)))-'Cartridge Info'!$B$20)/((B14/100)*'Cartridge Info'!$B$13)),0)</f>
        <v>3.6169155992619997</v>
      </c>
      <c r="Q14" s="254">
        <f>(O14*('Cartridge Info'!$B$19*(1.466*12)))-'Cartridge Info'!$B$20</f>
        <v>67.98933029111531</v>
      </c>
    </row>
    <row r="15" spans="1:17" ht="12.75">
      <c r="A15" s="241">
        <f t="shared" si="2"/>
        <v>549.993312</v>
      </c>
      <c r="B15" s="241">
        <f>B14+'Cartridge Info'!$B$9</f>
        <v>601.4799999999999</v>
      </c>
      <c r="C15" s="242">
        <f>TRUNC(Calculations!S82+(-Calculations!M82-SQRT(Calculations!M82^2-4*Calculations!N82*(Calculations!L82-Calculations!J82)))/(2*Calculations!N82))</f>
        <v>2156</v>
      </c>
      <c r="D15" s="243">
        <f>TRUNC(C15^2*'Cartridge Info'!$B$6/450400.1)</f>
        <v>1486</v>
      </c>
      <c r="E15" s="343">
        <f>-12*Calculations!U82*Calculations!T82^2</f>
        <v>-87.51691693197411</v>
      </c>
      <c r="F15" s="341">
        <f>E15-'Cartridge Info'!$B$12+((B15/100)*Calculations!$B$68)</f>
        <v>-65.2807935898855</v>
      </c>
      <c r="G15" s="339">
        <f>IF(B15&gt;0,SUM(('Ballistics Table'!F15/'Cartridge Info'!$B$14)/(B15/100)),0)</f>
        <v>-10.36419597206091</v>
      </c>
      <c r="H15" s="244">
        <f>IF(B15&gt;0,ABS(SUM(G15/'Cartridge Info'!$B$13)),0)</f>
        <v>3.0148224005732853</v>
      </c>
      <c r="I15" s="245">
        <f t="shared" si="0"/>
        <v>1.5356839802789626</v>
      </c>
      <c r="J15" s="343">
        <f>ABS(($K$2*35.2)*(Calculations!T82-(3*B15)/'Cartridge Info'!$B$5))/2</f>
        <v>19.4238554958335</v>
      </c>
      <c r="K15" s="341">
        <f>IF(J15&gt;0,SUM((J15/'Cartridge Info'!$B$14)/(B15/100)),0)</f>
        <v>3.0837959194632365</v>
      </c>
      <c r="L15" s="245">
        <f>SUM(K15/'Cartridge Info'!$B$13)</f>
        <v>0.8970398709033227</v>
      </c>
      <c r="M15" s="387">
        <f t="shared" si="1"/>
        <v>0.34071466880449464</v>
      </c>
      <c r="N15" s="246">
        <f>ABS(E15)-(ABS(E15)*COS('Cartridge Info'!$B$18*PI()/180))</f>
        <v>0</v>
      </c>
      <c r="O15" s="347">
        <f>SUM(((B15-B14)*3)/'Ballistics Table'!C15)+O14</f>
        <v>0.7202164851403887</v>
      </c>
      <c r="P15" s="247">
        <f>IF(B15&gt;0,(((O15*('Cartridge Info'!$B$19*(1.466*12)))-'Cartridge Info'!$B$20)/((B15/100)*'Cartridge Info'!$B$13)),0)</f>
        <v>3.6764989871991056</v>
      </c>
      <c r="Q15" s="248">
        <f>(O15*('Cartridge Info'!$B$19*(1.466*12)))-'Cartridge Info'!$B$20</f>
        <v>76.0202904395383</v>
      </c>
    </row>
    <row r="16" spans="1:17" ht="12.75">
      <c r="A16" s="233">
        <f t="shared" si="2"/>
        <v>599.9927039999999</v>
      </c>
      <c r="B16" s="249">
        <f>B15+'Cartridge Info'!$B$9</f>
        <v>656.1599999999999</v>
      </c>
      <c r="C16" s="250">
        <f>TRUNC(Calculations!S83+(-Calculations!M83-SQRT(Calculations!M83^2-4*Calculations!N83*(Calculations!L83-Calculations!J83)))/(2*Calculations!N83))</f>
        <v>2087</v>
      </c>
      <c r="D16" s="251">
        <f>TRUNC(C16^2*'Cartridge Info'!$B$6/450400.1)</f>
        <v>1392</v>
      </c>
      <c r="E16" s="344">
        <f>-12*Calculations!U83*Calculations!T83^2</f>
        <v>-106.41718522150921</v>
      </c>
      <c r="F16" s="340">
        <f>E16-'Cartridge Info'!$B$12+((B16/100)*Calculations!$B$68)</f>
        <v>-81.97777793923073</v>
      </c>
      <c r="G16" s="338">
        <f>IF(B16&gt;0,SUM(('Ballistics Table'!F16/'Cartridge Info'!$B$14)/(B16/100)),0)</f>
        <v>-11.9304760266261</v>
      </c>
      <c r="H16" s="236">
        <f>IF(B16&gt;0,ABS(SUM(G16/'Cartridge Info'!$B$13)),0)</f>
        <v>3.4704347999146017</v>
      </c>
      <c r="I16" s="252">
        <f t="shared" si="0"/>
        <v>1.5662800545651887</v>
      </c>
      <c r="J16" s="344">
        <f>ABS(($K$2*35.2)*(Calculations!T83-(3*B16)/'Cartridge Info'!$B$5))/2</f>
        <v>23.36945438916927</v>
      </c>
      <c r="K16" s="340">
        <f>IF(J16&gt;0,SUM((J16/'Cartridge Info'!$B$14)/(B16/100)),0)</f>
        <v>3.401027965798171</v>
      </c>
      <c r="L16" s="252">
        <f>SUM(K16/'Cartridge Info'!$B$13)</f>
        <v>0.9893189325930529</v>
      </c>
      <c r="M16" s="388">
        <f t="shared" si="1"/>
        <v>0.3172320463349343</v>
      </c>
      <c r="N16" s="253">
        <f>ABS(E16)-(ABS(E16)*COS('Cartridge Info'!$B$18*PI()/180))</f>
        <v>0</v>
      </c>
      <c r="O16" s="348">
        <f>SUM(((B16-B15)*3)/'Ballistics Table'!C16)+O15</f>
        <v>0.7988173476224203</v>
      </c>
      <c r="P16" s="239">
        <f>IF(B16&gt;0,(((O16*('Cartridge Info'!$B$19*(1.466*12)))-'Cartridge Info'!$B$20)/((B16/100)*'Cartridge Info'!$B$13)),0)</f>
        <v>3.7379227323692366</v>
      </c>
      <c r="Q16" s="254">
        <f>(O16*('Cartridge Info'!$B$19*(1.466*12)))-'Cartridge Info'!$B$20</f>
        <v>84.31676867624171</v>
      </c>
    </row>
    <row r="17" spans="1:17" ht="12.75">
      <c r="A17" s="241">
        <f t="shared" si="2"/>
        <v>649.9920959999998</v>
      </c>
      <c r="B17" s="241">
        <f>B16+'Cartridge Info'!$B$9</f>
        <v>710.8399999999998</v>
      </c>
      <c r="C17" s="242">
        <f>TRUNC(Calculations!S84+(-Calculations!M84-SQRT(Calculations!M84^2-4*Calculations!N84*(Calculations!L84-Calculations!J84)))/(2*Calculations!N84))</f>
        <v>2019</v>
      </c>
      <c r="D17" s="243">
        <f>TRUNC(C17^2*'Cartridge Info'!$B$6/450400.1)</f>
        <v>1303</v>
      </c>
      <c r="E17" s="343">
        <f>-12*Calculations!U84*Calculations!T84^2</f>
        <v>-127.57111159576338</v>
      </c>
      <c r="F17" s="341">
        <f>E17-'Cartridge Info'!$B$12+((B17/100)*Calculations!$B$68)</f>
        <v>-100.92842037329504</v>
      </c>
      <c r="G17" s="339">
        <f>IF(B17&gt;0,SUM(('Ballistics Table'!F17/'Cartridge Info'!$B$14)/(B17/100)),0)</f>
        <v>-13.558542288728827</v>
      </c>
      <c r="H17" s="244">
        <f>IF(B17&gt;0,ABS(SUM(G17/'Cartridge Info'!$B$13)),0)</f>
        <v>3.9440200784867616</v>
      </c>
      <c r="I17" s="245">
        <f t="shared" si="0"/>
        <v>1.6280662621027275</v>
      </c>
      <c r="J17" s="343">
        <f>ABS(($K$2*35.2)*(Calculations!T84-(3*B17)/'Cartridge Info'!$B$5))/2</f>
        <v>27.701245368565022</v>
      </c>
      <c r="K17" s="341">
        <f>IF(J17&gt;0,SUM((J17/'Cartridge Info'!$B$14)/(B17/100)),0)</f>
        <v>3.7213354314967613</v>
      </c>
      <c r="L17" s="245">
        <f>SUM(K17/'Cartridge Info'!$B$13)</f>
        <v>1.082492597512373</v>
      </c>
      <c r="M17" s="387">
        <f t="shared" si="1"/>
        <v>0.3203074656985905</v>
      </c>
      <c r="N17" s="246">
        <f>ABS(E17)-(ABS(E17)*COS('Cartridge Info'!$B$18*PI()/180))</f>
        <v>0</v>
      </c>
      <c r="O17" s="347">
        <f>SUM(((B17-B16)*3)/'Ballistics Table'!C17)+O16</f>
        <v>0.880065490267294</v>
      </c>
      <c r="P17" s="247">
        <f>IF(B17&gt;0,(((O17*('Cartridge Info'!$B$19*(1.466*12)))-'Cartridge Info'!$B$20)/((B17/100)*'Cartridge Info'!$B$13)),0)</f>
        <v>3.80133126148387</v>
      </c>
      <c r="Q17" s="248">
        <f>(O17*('Cartridge Info'!$B$19*(1.466*12)))-'Cartridge Info'!$B$20</f>
        <v>92.8926726286934</v>
      </c>
    </row>
    <row r="18" spans="1:17" ht="12.75">
      <c r="A18" s="233">
        <f t="shared" si="2"/>
        <v>699.9914879999998</v>
      </c>
      <c r="B18" s="249">
        <f>B17+'Cartridge Info'!$B$9</f>
        <v>765.5199999999998</v>
      </c>
      <c r="C18" s="250">
        <f>TRUNC(Calculations!S85+(-Calculations!M85-SQRT(Calculations!M85^2-4*Calculations!N85*(Calculations!L85-Calculations!J85)))/(2*Calculations!N85))</f>
        <v>1952</v>
      </c>
      <c r="D18" s="251">
        <f>TRUNC(C18^2*'Cartridge Info'!$B$6/450400.1)</f>
        <v>1218</v>
      </c>
      <c r="E18" s="344">
        <f>-12*Calculations!U85*Calculations!T85^2</f>
        <v>-151.02677756539651</v>
      </c>
      <c r="F18" s="340">
        <f>E18-'Cartridge Info'!$B$12+((B18/100)*Calculations!$B$68)</f>
        <v>-122.1808024027383</v>
      </c>
      <c r="G18" s="338">
        <f>IF(B18&gt;0,SUM(('Ballistics Table'!F18/'Cartridge Info'!$B$14)/(B18/100)),0)</f>
        <v>-15.241152670077799</v>
      </c>
      <c r="H18" s="236">
        <f>IF(B18&gt;0,ABS(SUM(G18/'Cartridge Info'!$B$13)),0)</f>
        <v>4.433471598199711</v>
      </c>
      <c r="I18" s="252">
        <f t="shared" si="0"/>
        <v>1.6826103813489723</v>
      </c>
      <c r="J18" s="344">
        <f>ABS(($K$2*35.2)*(Calculations!T85-(3*B18)/'Cartridge Info'!$B$5))/2</f>
        <v>32.39371442330082</v>
      </c>
      <c r="K18" s="340">
        <f>IF(J18&gt;0,SUM((J18/'Cartridge Info'!$B$14)/(B18/100)),0)</f>
        <v>4.040876613733582</v>
      </c>
      <c r="L18" s="252">
        <f>SUM(K18/'Cartridge Info'!$B$13)</f>
        <v>1.1754433596081688</v>
      </c>
      <c r="M18" s="388">
        <f t="shared" si="1"/>
        <v>0.3195411822368208</v>
      </c>
      <c r="N18" s="253">
        <f>ABS(E18)-(ABS(E18)*COS('Cartridge Info'!$B$18*PI()/180))</f>
        <v>0</v>
      </c>
      <c r="O18" s="348">
        <f>SUM(((B18-B17)*3)/'Ballistics Table'!C18)+O17</f>
        <v>0.9641023755131956</v>
      </c>
      <c r="P18" s="239">
        <f>IF(B18&gt;0,(((O18*('Cartridge Info'!$B$19*(1.466*12)))-'Cartridge Info'!$B$20)/((B18/100)*'Cartridge Info'!$B$13)),0)</f>
        <v>3.866866647824208</v>
      </c>
      <c r="Q18" s="254">
        <f>(O18*('Cartridge Info'!$B$19*(1.466*12)))-'Cartridge Info'!$B$20</f>
        <v>101.76293394016881</v>
      </c>
    </row>
    <row r="19" spans="1:17" ht="12.75">
      <c r="A19" s="241">
        <f t="shared" si="2"/>
        <v>749.9908799999997</v>
      </c>
      <c r="B19" s="241">
        <f>B18+'Cartridge Info'!$B$9</f>
        <v>820.1999999999997</v>
      </c>
      <c r="C19" s="242">
        <f>TRUNC(Calculations!S86+(-Calculations!M86-SQRT(Calculations!M86^2-4*Calculations!N86*(Calculations!L86-Calculations!J86)))/(2*Calculations!N86))</f>
        <v>1886</v>
      </c>
      <c r="D19" s="243">
        <f>TRUNC(C19^2*'Cartridge Info'!$B$6/450400.1)</f>
        <v>1137</v>
      </c>
      <c r="E19" s="343">
        <f>-12*Calculations!U86*Calculations!T86^2</f>
        <v>-177.7879745143937</v>
      </c>
      <c r="F19" s="341">
        <f>E19-'Cartridge Info'!$B$12+((B19/100)*Calculations!$B$68)</f>
        <v>-146.73871541154563</v>
      </c>
      <c r="G19" s="339">
        <f>IF(B19&gt;0,SUM(('Ballistics Table'!F19/'Cartridge Info'!$B$14)/(B19/100)),0)</f>
        <v>-17.08426620387884</v>
      </c>
      <c r="H19" s="244">
        <f>IF(B19&gt;0,ABS(SUM(G19/'Cartridge Info'!$B$13)),0)</f>
        <v>4.969611592414644</v>
      </c>
      <c r="I19" s="245">
        <f t="shared" si="0"/>
        <v>1.8431135338010414</v>
      </c>
      <c r="J19" s="343">
        <f>ABS(($K$2*35.2)*(Calculations!T86-(3*B19)/'Cartridge Info'!$B$5))/2</f>
        <v>37.91927412565661</v>
      </c>
      <c r="K19" s="341">
        <f>IF(J19&gt;0,SUM((J19/'Cartridge Info'!$B$14)/(B19/100)),0)</f>
        <v>4.41480608306866</v>
      </c>
      <c r="L19" s="245">
        <f>SUM(K19/'Cartridge Info'!$B$13)</f>
        <v>1.2842150331103734</v>
      </c>
      <c r="M19" s="387">
        <f t="shared" si="1"/>
        <v>0.37392946933507787</v>
      </c>
      <c r="N19" s="246">
        <f>ABS(E19)-(ABS(E19)*COS('Cartridge Info'!$B$18*PI()/180))</f>
        <v>0</v>
      </c>
      <c r="O19" s="347">
        <f>SUM(((B19-B18)*3)/'Ballistics Table'!C19)+O18</f>
        <v>1.0510801061600672</v>
      </c>
      <c r="P19" s="247">
        <f>IF(B19&gt;0,(((O19*('Cartridge Info'!$B$19*(1.466*12)))-'Cartridge Info'!$B$20)/((B19/100)*'Cartridge Info'!$B$13)),0)</f>
        <v>3.9346729101970896</v>
      </c>
      <c r="Q19" s="248">
        <f>(O19*('Cartridge Info'!$B$19*(1.466*12)))-'Cartridge Info'!$B$20</f>
        <v>110.9436073654074</v>
      </c>
    </row>
    <row r="20" spans="1:17" ht="12.75">
      <c r="A20" s="233">
        <f t="shared" si="2"/>
        <v>799.9902719999997</v>
      </c>
      <c r="B20" s="249">
        <f>B19+'Cartridge Info'!$B$9</f>
        <v>874.8799999999997</v>
      </c>
      <c r="C20" s="250">
        <f>TRUNC(Calculations!S87+(-Calculations!M87-SQRT(Calculations!M87^2-4*Calculations!N87*(Calculations!L87-Calculations!J87)))/(2*Calculations!N87))</f>
        <v>1822</v>
      </c>
      <c r="D20" s="251">
        <f>TRUNC(C20^2*'Cartridge Info'!$B$6/450400.1)</f>
        <v>1061</v>
      </c>
      <c r="E20" s="344">
        <f>-12*Calculations!U87*Calculations!T87^2</f>
        <v>-207.55663123277105</v>
      </c>
      <c r="F20" s="340">
        <f>E20-'Cartridge Info'!$B$12+((B20/100)*Calculations!$B$68)</f>
        <v>-174.30408818973308</v>
      </c>
      <c r="G20" s="338">
        <f>IF(B20&gt;0,SUM(('Ballistics Table'!F20/'Cartridge Info'!$B$14)/(B20/100)),0)</f>
        <v>-19.025254139896912</v>
      </c>
      <c r="H20" s="236">
        <f>IF(B20&gt;0,ABS(SUM(G20/'Cartridge Info'!$B$13)),0)</f>
        <v>5.534222096164717</v>
      </c>
      <c r="I20" s="252">
        <f t="shared" si="0"/>
        <v>1.9409879360180717</v>
      </c>
      <c r="J20" s="344">
        <f>ABS(($K$2*35.2)*(Calculations!T87-(3*B20)/'Cartridge Info'!$B$5))/2</f>
        <v>43.984566856572414</v>
      </c>
      <c r="K20" s="340">
        <f>IF(J20&gt;0,SUM((J20/'Cartridge Info'!$B$14)/(B20/100)),0)</f>
        <v>4.800906113967253</v>
      </c>
      <c r="L20" s="252">
        <f>SUM(K20/'Cartridge Info'!$B$13)</f>
        <v>1.396526979464245</v>
      </c>
      <c r="M20" s="388">
        <f t="shared" si="1"/>
        <v>0.3861000308985929</v>
      </c>
      <c r="N20" s="253">
        <f>ABS(E20)-(ABS(E20)*COS('Cartridge Info'!$B$18*PI()/180))</f>
        <v>0</v>
      </c>
      <c r="O20" s="348">
        <f>SUM(((B20-B19)*3)/'Ballistics Table'!C20)+O19</f>
        <v>1.1411130370052922</v>
      </c>
      <c r="P20" s="239">
        <f>IF(B20&gt;0,(((O20*('Cartridge Info'!$B$19*(1.466*12)))-'Cartridge Info'!$B$20)/((B20/100)*'Cartridge Info'!$B$13)),0)</f>
        <v>4.004725586443872</v>
      </c>
      <c r="Q20" s="254">
        <f>(O20*('Cartridge Info'!$B$19*(1.466*12)))-'Cartridge Info'!$B$20</f>
        <v>120.4467632819826</v>
      </c>
    </row>
    <row r="21" spans="1:17" ht="12.75">
      <c r="A21" s="241">
        <f t="shared" si="2"/>
        <v>849.9896639999996</v>
      </c>
      <c r="B21" s="241">
        <f>B20+'Cartridge Info'!$B$9</f>
        <v>929.5599999999996</v>
      </c>
      <c r="C21" s="242">
        <f>TRUNC(Calculations!S88+(-Calculations!M88-SQRT(Calculations!M88^2-4*Calculations!N88*(Calculations!L88-Calculations!J88)))/(2*Calculations!N88))</f>
        <v>1760</v>
      </c>
      <c r="D21" s="243">
        <f>TRUNC(C21^2*'Cartridge Info'!$B$6/450400.1)</f>
        <v>990</v>
      </c>
      <c r="E21" s="343">
        <f>-12*Calculations!U88*Calculations!T88^2</f>
        <v>-240.65546598920534</v>
      </c>
      <c r="F21" s="341">
        <f>E21-'Cartridge Info'!$B$12+((B21/100)*Calculations!$B$68)</f>
        <v>-205.1996390059775</v>
      </c>
      <c r="G21" s="339">
        <f>IF(B21&gt;0,SUM(('Ballistics Table'!F21/'Cartridge Info'!$B$14)/(B21/100)),0)</f>
        <v>-21.07999711808199</v>
      </c>
      <c r="H21" s="244">
        <f>IF(B21&gt;0,ABS(SUM(G21/'Cartridge Info'!$B$13)),0)</f>
        <v>6.131922600357444</v>
      </c>
      <c r="I21" s="245">
        <f t="shared" si="0"/>
        <v>2.054742978185079</v>
      </c>
      <c r="J21" s="343">
        <f>ABS(($K$2*35.2)*(Calculations!T88-(3*B21)/'Cartridge Info'!$B$5))/2</f>
        <v>50.65466098028817</v>
      </c>
      <c r="K21" s="341">
        <f>IF(J21&gt;0,SUM((J21/'Cartridge Info'!$B$14)/(B21/100)),0)</f>
        <v>5.203713382023979</v>
      </c>
      <c r="L21" s="245">
        <f>SUM(K21/'Cartridge Info'!$B$13)</f>
        <v>1.5136988641067992</v>
      </c>
      <c r="M21" s="387">
        <f t="shared" si="1"/>
        <v>0.4028072680567263</v>
      </c>
      <c r="N21" s="246">
        <f>ABS(E21)-(ABS(E21)*COS('Cartridge Info'!$B$18*PI()/180))</f>
        <v>0</v>
      </c>
      <c r="O21" s="347">
        <f>SUM(((B21-B20)*3)/'Ballistics Table'!C21)+O20</f>
        <v>1.2343175824598376</v>
      </c>
      <c r="P21" s="247">
        <f>IF(B21&gt;0,(((O21*('Cartridge Info'!$B$19*(1.466*12)))-'Cartridge Info'!$B$20)/((B21/100)*'Cartridge Info'!$B$13)),0)</f>
        <v>4.0770127732147285</v>
      </c>
      <c r="Q21" s="248">
        <f>(O21*('Cartridge Info'!$B$19*(1.466*12)))-'Cartridge Info'!$B$20</f>
        <v>130.28468946380076</v>
      </c>
    </row>
    <row r="22" spans="1:17" ht="12.75">
      <c r="A22" s="233">
        <f t="shared" si="2"/>
        <v>899.9890559999996</v>
      </c>
      <c r="B22" s="249">
        <f>B21+'Cartridge Info'!$B$9</f>
        <v>984.2399999999996</v>
      </c>
      <c r="C22" s="250">
        <f>TRUNC(Calculations!S89+(-Calculations!M89-SQRT(Calculations!M89^2-4*Calculations!N89*(Calculations!L89-Calculations!J89)))/(2*Calculations!N89))</f>
        <v>1700</v>
      </c>
      <c r="D22" s="251">
        <f>TRUNC(C22^2*'Cartridge Info'!$B$6/450400.1)</f>
        <v>923</v>
      </c>
      <c r="E22" s="344">
        <f>-12*Calculations!U89*Calculations!T89^2</f>
        <v>-277.04430352767827</v>
      </c>
      <c r="F22" s="340">
        <f>E22-'Cartridge Info'!$B$12+((B22/100)*Calculations!$B$68)</f>
        <v>-239.38519260426057</v>
      </c>
      <c r="G22" s="338">
        <f>IF(B22&gt;0,SUM(('Ballistics Table'!F22/'Cartridge Info'!$B$14)/(B22/100)),0)</f>
        <v>-23.225638079720497</v>
      </c>
      <c r="H22" s="236">
        <f>IF(B22&gt;0,ABS(SUM(G22/'Cartridge Info'!$B$13)),0)</f>
        <v>6.7560642561282656</v>
      </c>
      <c r="I22" s="252">
        <f t="shared" si="0"/>
        <v>2.145640961638506</v>
      </c>
      <c r="J22" s="344">
        <f>ABS(($K$2*35.2)*(Calculations!T89-(3*B22)/'Cartridge Info'!$B$5))/2</f>
        <v>57.82532016240401</v>
      </c>
      <c r="K22" s="340">
        <f>IF(J22&gt;0,SUM((J22/'Cartridge Info'!$B$14)/(B22/100)),0)</f>
        <v>5.610330126626458</v>
      </c>
      <c r="L22" s="252">
        <f>SUM(K22/'Cartridge Info'!$B$13)</f>
        <v>1.6319788805577014</v>
      </c>
      <c r="M22" s="388">
        <f t="shared" si="1"/>
        <v>0.4066167446024789</v>
      </c>
      <c r="N22" s="253">
        <f>ABS(E22)-(ABS(E22)*COS('Cartridge Info'!$B$18*PI()/180))</f>
        <v>0</v>
      </c>
      <c r="O22" s="348">
        <f>SUM(((B22-B21)*3)/'Ballistics Table'!C22)+O21</f>
        <v>1.3308117001068962</v>
      </c>
      <c r="P22" s="239">
        <f>IF(B22&gt;0,(((O22*('Cartridge Info'!$B$19*(1.466*12)))-'Cartridge Info'!$B$20)/((B22/100)*'Cartridge Info'!$B$13)),0)</f>
        <v>4.151530026347416</v>
      </c>
      <c r="Q22" s="254">
        <f>(O22*('Cartridge Info'!$B$19*(1.466*12)))-'Cartridge Info'!$B$20</f>
        <v>140.4698365696831</v>
      </c>
    </row>
    <row r="23" spans="1:17" ht="12.75">
      <c r="A23" s="241">
        <f t="shared" si="2"/>
        <v>949.9884479999996</v>
      </c>
      <c r="B23" s="241">
        <f>B22+'Cartridge Info'!$B$9</f>
        <v>1038.9199999999996</v>
      </c>
      <c r="C23" s="242">
        <f>TRUNC(Calculations!S90+(-Calculations!M90-SQRT(Calculations!M90^2-4*Calculations!N90*(Calculations!L90-Calculations!J90)))/(2*Calculations!N90))</f>
        <v>1641</v>
      </c>
      <c r="D23" s="243">
        <f>TRUNC(C23^2*'Cartridge Info'!$B$6/450400.1)</f>
        <v>860</v>
      </c>
      <c r="E23" s="343">
        <f>-12*Calculations!U90*Calculations!T90^2</f>
        <v>-317.35546161448843</v>
      </c>
      <c r="F23" s="341">
        <f>E23-'Cartridge Info'!$B$12+((B23/100)*Calculations!$B$68)</f>
        <v>-277.49306675088087</v>
      </c>
      <c r="G23" s="339">
        <f>IF(B23&gt;0,SUM(('Ballistics Table'!F23/'Cartridge Info'!$B$14)/(B23/100)),0)</f>
        <v>-25.505944585029823</v>
      </c>
      <c r="H23" s="244">
        <f>IF(B23&gt;0,ABS(SUM(G23/'Cartridge Info'!$B$13)),0)</f>
        <v>7.419378530666487</v>
      </c>
      <c r="I23" s="245">
        <f t="shared" si="0"/>
        <v>2.2803065053093263</v>
      </c>
      <c r="J23" s="343">
        <f>ABS(($K$2*35.2)*(Calculations!T90-(3*B23)/'Cartridge Info'!$B$5))/2</f>
        <v>65.70005419511975</v>
      </c>
      <c r="K23" s="341">
        <f>IF(J23&gt;0,SUM((J23/'Cartridge Info'!$B$14)/(B23/100)),0)</f>
        <v>6.038860578230504</v>
      </c>
      <c r="L23" s="245">
        <f>SUM(K23/'Cartridge Info'!$B$13)</f>
        <v>1.7566333359835151</v>
      </c>
      <c r="M23" s="387">
        <f t="shared" si="1"/>
        <v>0.428530451604046</v>
      </c>
      <c r="N23" s="246">
        <f>ABS(E23)-(ABS(E23)*COS('Cartridge Info'!$B$18*PI()/180))</f>
        <v>0</v>
      </c>
      <c r="O23" s="347">
        <f>SUM(((B23-B22)*3)/'Ballistics Table'!C23)+O22</f>
        <v>1.4307751370355983</v>
      </c>
      <c r="P23" s="247">
        <f>IF(B23&gt;0,(((O23*('Cartridge Info'!$B$19*(1.466*12)))-'Cartridge Info'!$B$20)/((B23/100)*'Cartridge Info'!$B$13)),0)</f>
        <v>4.228456447563272</v>
      </c>
      <c r="Q23" s="248">
        <f>(O23*('Cartridge Info'!$B$19*(1.466*12)))-'Cartridge Info'!$B$20</f>
        <v>151.02117726438146</v>
      </c>
    </row>
    <row r="24" spans="1:17" ht="12.75">
      <c r="A24" s="233">
        <f t="shared" si="2"/>
        <v>999.9878399999997</v>
      </c>
      <c r="B24" s="249">
        <f>B23+'Cartridge Info'!$B$9</f>
        <v>1093.5999999999997</v>
      </c>
      <c r="C24" s="250">
        <f>TRUNC(Calculations!S91+(-Calculations!M91-SQRT(Calculations!M91^2-4*Calculations!N91*(Calculations!L91-Calculations!J91)))/(2*Calculations!N91))</f>
        <v>1584</v>
      </c>
      <c r="D24" s="251">
        <f>TRUNC(C24^2*'Cartridge Info'!$B$6/450400.1)</f>
        <v>802</v>
      </c>
      <c r="E24" s="344">
        <f>-12*Calculations!U91*Calculations!T91^2</f>
        <v>-360.88979843249746</v>
      </c>
      <c r="F24" s="340">
        <f>E24-'Cartridge Info'!$B$12+((B24/100)*Calculations!$B$68)</f>
        <v>-318.8241196287</v>
      </c>
      <c r="G24" s="338">
        <f>IF(B24&gt;0,SUM(('Ballistics Table'!F24/'Cartridge Info'!$B$14)/(B24/100)),0)</f>
        <v>-27.839667857989788</v>
      </c>
      <c r="H24" s="236">
        <f>IF(B24&gt;0,ABS(SUM(G24/'Cartridge Info'!$B$13)),0)</f>
        <v>8.098231113059317</v>
      </c>
      <c r="I24" s="252">
        <f t="shared" si="0"/>
        <v>2.333723272959965</v>
      </c>
      <c r="J24" s="344">
        <f>ABS(($K$2*35.2)*(Calculations!T91-(3*B24)/'Cartridge Info'!$B$5))/2</f>
        <v>73.90863119223543</v>
      </c>
      <c r="K24" s="340">
        <f>IF(J24&gt;0,SUM((J24/'Cartridge Info'!$B$14)/(B24/100)),0)</f>
        <v>6.45368909550116</v>
      </c>
      <c r="L24" s="252">
        <f>SUM(K24/'Cartridge Info'!$B$13)</f>
        <v>1.8773020602758335</v>
      </c>
      <c r="M24" s="388">
        <f t="shared" si="1"/>
        <v>0.4148285172706556</v>
      </c>
      <c r="N24" s="253">
        <f>ABS(E24)-(ABS(E24)*COS('Cartridge Info'!$B$18*PI()/180))</f>
        <v>0</v>
      </c>
      <c r="O24" s="348">
        <f>SUM(((B24-B23)*3)/'Ballistics Table'!C24)+O23</f>
        <v>1.5343357430962046</v>
      </c>
      <c r="P24" s="239">
        <f>IF(B24&gt;0,(((O24*('Cartridge Info'!$B$19*(1.466*12)))-'Cartridge Info'!$B$20)/((B24/100)*'Cartridge Info'!$B$13)),0)</f>
        <v>4.3077896119378005</v>
      </c>
      <c r="Q24" s="254">
        <f>(O24*('Cartridge Info'!$B$19*(1.466*12)))-'Cartridge Info'!$B$20</f>
        <v>161.95220635529057</v>
      </c>
    </row>
    <row r="25" spans="1:17" ht="12.75">
      <c r="A25" s="241">
        <f t="shared" si="2"/>
        <v>1049.9872319999997</v>
      </c>
      <c r="B25" s="241">
        <f>B24+'Cartridge Info'!$B$9</f>
        <v>1148.2799999999997</v>
      </c>
      <c r="C25" s="242">
        <f>TRUNC(Calculations!S92+(-Calculations!M92-SQRT(Calculations!M92^2-4*Calculations!N92*(Calculations!L92-Calculations!J92)))/(2*Calculations!N92))</f>
        <v>1528</v>
      </c>
      <c r="D25" s="243">
        <f>TRUNC(C25^2*'Cartridge Info'!$B$6/450400.1)</f>
        <v>746</v>
      </c>
      <c r="E25" s="343">
        <f>-12*Calculations!U92*Calculations!T92^2</f>
        <v>-408.35930954189644</v>
      </c>
      <c r="F25" s="341">
        <f>E25-'Cartridge Info'!$B$12+((B25/100)*Calculations!$B$68)</f>
        <v>-364.0903467979091</v>
      </c>
      <c r="G25" s="339">
        <f>IF(B25&gt;0,SUM(('Ballistics Table'!F25/'Cartridge Info'!$B$14)/(B25/100)),0)</f>
        <v>-30.278387723340824</v>
      </c>
      <c r="H25" s="244">
        <f>IF(B25&gt;0,ABS(SUM(G25/'Cartridge Info'!$B$13)),0)</f>
        <v>8.80762596612879</v>
      </c>
      <c r="I25" s="245">
        <f t="shared" si="0"/>
        <v>2.438719865351036</v>
      </c>
      <c r="J25" s="343">
        <f>ABS(($K$2*35.2)*(Calculations!T92-(3*B25)/'Cartridge Info'!$B$5))/2</f>
        <v>82.6912678271512</v>
      </c>
      <c r="K25" s="341">
        <f>IF(J25&gt;0,SUM((J25/'Cartridge Info'!$B$14)/(B25/100)),0)</f>
        <v>6.876749934803493</v>
      </c>
      <c r="L25" s="245">
        <f>SUM(K25/'Cartridge Info'!$B$13)</f>
        <v>2.0003654699771056</v>
      </c>
      <c r="M25" s="387">
        <f t="shared" si="1"/>
        <v>0.42306083930233296</v>
      </c>
      <c r="N25" s="246">
        <f>ABS(E25)-(ABS(E25)*COS('Cartridge Info'!$B$18*PI()/180))</f>
        <v>0</v>
      </c>
      <c r="O25" s="347">
        <f>SUM(((B25-B24)*3)/'Ballistics Table'!C25)+O24</f>
        <v>1.641691764038613</v>
      </c>
      <c r="P25" s="247">
        <f>IF(B25&gt;0,(((O25*('Cartridge Info'!$B$19*(1.466*12)))-'Cartridge Info'!$B$20)/((B25/100)*'Cartridge Info'!$B$13)),0)</f>
        <v>4.3897157878691235</v>
      </c>
      <c r="Q25" s="248">
        <f>(O25*('Cartridge Info'!$B$19*(1.466*12)))-'Cartridge Info'!$B$20</f>
        <v>173.28384907780367</v>
      </c>
    </row>
    <row r="26" spans="1:17" ht="12.75">
      <c r="A26" s="233">
        <f t="shared" si="2"/>
        <v>1099.986624</v>
      </c>
      <c r="B26" s="249">
        <f>B25+'Cartridge Info'!$B$9</f>
        <v>1202.9599999999998</v>
      </c>
      <c r="C26" s="250">
        <f>TRUNC(Calculations!S93+(-Calculations!M93-SQRT(Calculations!M93^2-4*Calculations!N93*(Calculations!L93-Calculations!J93)))/(2*Calculations!N93))</f>
        <v>1473</v>
      </c>
      <c r="D26" s="251">
        <f>TRUNC(C26^2*'Cartridge Info'!$B$6/450400.1)</f>
        <v>693</v>
      </c>
      <c r="E26" s="344">
        <f>-12*Calculations!U93*Calculations!T93^2</f>
        <v>-459.80408698206986</v>
      </c>
      <c r="F26" s="340">
        <f>E26-'Cartridge Info'!$B$12+((B26/100)*Calculations!$B$68)</f>
        <v>-413.33184029789265</v>
      </c>
      <c r="G26" s="338">
        <f>IF(B26&gt;0,SUM(('Ballistics Table'!F26/'Cartridge Info'!$B$14)/(B26/100)),0)</f>
        <v>-32.81096903671584</v>
      </c>
      <c r="H26" s="236">
        <f>IF(B26&gt;0,ABS(SUM(G26/'Cartridge Info'!$B$13)),0)</f>
        <v>9.544324007676728</v>
      </c>
      <c r="I26" s="252">
        <f t="shared" si="0"/>
        <v>2.5325813133750152</v>
      </c>
      <c r="J26" s="344">
        <f>ABS(($K$2*35.2)*(Calculations!T93-(3*B26)/'Cartridge Info'!$B$5))/2</f>
        <v>92.00088962626698</v>
      </c>
      <c r="K26" s="340">
        <f>IF(J26&gt;0,SUM((J26/'Cartridge Info'!$B$14)/(B26/100)),0)</f>
        <v>7.303183656749484</v>
      </c>
      <c r="L26" s="252">
        <f>SUM(K26/'Cartridge Info'!$B$13)</f>
        <v>2.1244100114686315</v>
      </c>
      <c r="M26" s="388">
        <f t="shared" si="1"/>
        <v>0.4264337219459913</v>
      </c>
      <c r="N26" s="253">
        <f>ABS(E26)-(ABS(E26)*COS('Cartridge Info'!$B$18*PI()/180))</f>
        <v>0</v>
      </c>
      <c r="O26" s="348">
        <f>SUM(((B26-B25)*3)/'Ballistics Table'!C26)+O25</f>
        <v>1.7530563261567393</v>
      </c>
      <c r="P26" s="239">
        <f>IF(B26&gt;0,(((O26*('Cartridge Info'!$B$19*(1.466*12)))-'Cartridge Info'!$B$20)/((B26/100)*'Cartridge Info'!$B$13)),0)</f>
        <v>4.474425357232638</v>
      </c>
      <c r="Q26" s="254">
        <f>(O26*('Cartridge Info'!$B$19*(1.466*12)))-'Cartridge Info'!$B$20</f>
        <v>185.03860133849614</v>
      </c>
    </row>
    <row r="27" spans="1:17" ht="12.75">
      <c r="A27" s="241">
        <f t="shared" si="2"/>
        <v>1149.9860159999998</v>
      </c>
      <c r="B27" s="241">
        <f>B26+'Cartridge Info'!$B$9</f>
        <v>1257.6399999999999</v>
      </c>
      <c r="C27" s="242">
        <f>TRUNC(Calculations!S94+(-Calculations!M94-SQRT(Calculations!M94^2-4*Calculations!N94*(Calculations!L94-Calculations!J94)))/(2*Calculations!N94))</f>
        <v>1423</v>
      </c>
      <c r="D27" s="243">
        <f>TRUNC(C27^2*'Cartridge Info'!$B$6/450400.1)</f>
        <v>647</v>
      </c>
      <c r="E27" s="343">
        <f>-12*Calculations!U94*Calculations!T94^2</f>
        <v>-517.6584586142776</v>
      </c>
      <c r="F27" s="341">
        <f>E27-'Cartridge Info'!$B$12+((B27/100)*Calculations!$B$68)</f>
        <v>-468.98292798991054</v>
      </c>
      <c r="G27" s="339">
        <f>IF(B27&gt;0,SUM(('Ballistics Table'!F27/'Cartridge Info'!$B$14)/(B27/100)),0)</f>
        <v>-35.61000821314748</v>
      </c>
      <c r="H27" s="244">
        <f>IF(B27&gt;0,ABS(SUM(G27/'Cartridge Info'!$B$13)),0)</f>
        <v>10.358531499694104</v>
      </c>
      <c r="I27" s="245">
        <f t="shared" si="0"/>
        <v>2.7990391764316414</v>
      </c>
      <c r="J27" s="343">
        <f>ABS(($K$2*35.2)*(Calculations!T94-(3*B27)/'Cartridge Info'!$B$5))/2</f>
        <v>102.42608353138277</v>
      </c>
      <c r="K27" s="341">
        <f>IF(J27&gt;0,SUM((J27/'Cartridge Info'!$B$14)/(B27/100)),0)</f>
        <v>7.777241895405494</v>
      </c>
      <c r="L27" s="245">
        <f>SUM(K27/'Cartridge Info'!$B$13)</f>
        <v>2.2623079633145053</v>
      </c>
      <c r="M27" s="387">
        <f t="shared" si="1"/>
        <v>0.47405823865600993</v>
      </c>
      <c r="N27" s="246">
        <f>ABS(E27)-(ABS(E27)*COS('Cartridge Info'!$B$18*PI()/180))</f>
        <v>0</v>
      </c>
      <c r="O27" s="347">
        <f>SUM(((B27-B26)*3)/'Ballistics Table'!C27)+O26</f>
        <v>1.8683339087287705</v>
      </c>
      <c r="P27" s="247">
        <f>IF(B27&gt;0,(((O27*('Cartridge Info'!$B$19*(1.466*12)))-'Cartridge Info'!$B$20)/((B27/100)*'Cartridge Info'!$B$13)),0)</f>
        <v>4.561322065869725</v>
      </c>
      <c r="Q27" s="248">
        <f>(O27*('Cartridge Info'!$B$19*(1.466*12)))-'Cartridge Info'!$B$20</f>
        <v>197.20638073413917</v>
      </c>
    </row>
    <row r="28" spans="1:17" ht="12.75">
      <c r="A28" s="233">
        <f t="shared" si="2"/>
        <v>1199.985408</v>
      </c>
      <c r="B28" s="249">
        <f>B27+'Cartridge Info'!$B$9</f>
        <v>1312.32</v>
      </c>
      <c r="C28" s="250">
        <f>TRUNC(Calculations!S95+(-Calculations!M95-SQRT(Calculations!M95^2-4*Calculations!N95*(Calculations!L95-Calculations!J95)))/(2*Calculations!N95))</f>
        <v>1374</v>
      </c>
      <c r="D28" s="251">
        <f>TRUNC(C28^2*'Cartridge Info'!$B$6/450400.1)</f>
        <v>603</v>
      </c>
      <c r="E28" s="344">
        <f>-12*Calculations!U95*Calculations!T95^2</f>
        <v>-581.3454463482121</v>
      </c>
      <c r="F28" s="340">
        <f>E28-'Cartridge Info'!$B$12+((B28/100)*Calculations!$B$68)</f>
        <v>-530.4666317836552</v>
      </c>
      <c r="G28" s="338">
        <f>IF(B28&gt;0,SUM(('Ballistics Table'!F28/'Cartridge Info'!$B$14)/(B28/100)),0)</f>
        <v>-38.60021332922322</v>
      </c>
      <c r="H28" s="236">
        <f>IF(B28&gt;0,ABS(SUM(G28/'Cartridge Info'!$B$13)),0)</f>
        <v>11.228346909452453</v>
      </c>
      <c r="I28" s="252">
        <f t="shared" si="0"/>
        <v>2.9902051160757424</v>
      </c>
      <c r="J28" s="344">
        <f>ABS(($K$2*35.2)*(Calculations!T95-(3*B28)/'Cartridge Info'!$B$5))/2</f>
        <v>113.74259875969857</v>
      </c>
      <c r="K28" s="340">
        <f>IF(J28&gt;0,SUM((J28/'Cartridge Info'!$B$14)/(B28/100)),0)</f>
        <v>8.276653636029677</v>
      </c>
      <c r="L28" s="252">
        <f>SUM(K28/'Cartridge Info'!$B$13)</f>
        <v>2.407580949931304</v>
      </c>
      <c r="M28" s="388">
        <f t="shared" si="1"/>
        <v>0.4994117406241827</v>
      </c>
      <c r="N28" s="253">
        <f>ABS(E28)-(ABS(E28)*COS('Cartridge Info'!$B$18*PI()/180))</f>
        <v>0</v>
      </c>
      <c r="O28" s="348">
        <f>SUM(((B28-B27)*3)/'Ballistics Table'!C28)+O27</f>
        <v>1.9877225550169801</v>
      </c>
      <c r="P28" s="239">
        <f>IF(B28&gt;0,(((O28*('Cartridge Info'!$B$19*(1.466*12)))-'Cartridge Info'!$B$20)/((B28/100)*'Cartridge Info'!$B$13)),0)</f>
        <v>4.650595875362092</v>
      </c>
      <c r="Q28" s="254">
        <f>(O28*('Cartridge Info'!$B$19*(1.466*12)))-'Cartridge Info'!$B$20</f>
        <v>209.80809112715227</v>
      </c>
    </row>
    <row r="29" spans="1:17" ht="12.75">
      <c r="A29" s="241">
        <f t="shared" si="2"/>
        <v>1249.9848</v>
      </c>
      <c r="B29" s="241">
        <f>B28+'Cartridge Info'!$B$9</f>
        <v>1367</v>
      </c>
      <c r="C29" s="242">
        <f>TRUNC(Calculations!S96+(-Calculations!M96-SQRT(Calculations!M96^2-4*Calculations!N96*(Calculations!L96-Calculations!J96)))/(2*Calculations!N96))</f>
        <v>1328</v>
      </c>
      <c r="D29" s="243">
        <f>TRUNC(C29^2*'Cartridge Info'!$B$6/450400.1)</f>
        <v>563</v>
      </c>
      <c r="E29" s="343">
        <f>-12*Calculations!U96*Calculations!T96^2</f>
        <v>-650.1378826398408</v>
      </c>
      <c r="F29" s="341">
        <f>E29-'Cartridge Info'!$B$12+((B29/100)*Calculations!$B$68)</f>
        <v>-597.055784135094</v>
      </c>
      <c r="G29" s="339">
        <f>IF(B29&gt;0,SUM(('Ballistics Table'!F29/'Cartridge Info'!$B$14)/(B29/100)),0)</f>
        <v>-41.7078475552485</v>
      </c>
      <c r="H29" s="244">
        <f>IF(B29&gt;0,ABS(SUM(G29/'Cartridge Info'!$B$13)),0)</f>
        <v>12.132321062649233</v>
      </c>
      <c r="I29" s="245">
        <f t="shared" si="0"/>
        <v>3.107634226025276</v>
      </c>
      <c r="J29" s="343">
        <f>ABS(($K$2*35.2)*(Calculations!T96-(3*B29)/'Cartridge Info'!$B$5))/2</f>
        <v>125.56925817861423</v>
      </c>
      <c r="K29" s="341">
        <f>IF(J29&gt;0,SUM((J29/'Cartridge Info'!$B$14)/(B29/100)),0)</f>
        <v>8.771749000515959</v>
      </c>
      <c r="L29" s="245">
        <f>SUM(K29/'Cartridge Info'!$B$13)</f>
        <v>2.551598353625421</v>
      </c>
      <c r="M29" s="387">
        <f t="shared" si="1"/>
        <v>0.4950953644862821</v>
      </c>
      <c r="N29" s="246">
        <f>ABS(E29)-(ABS(E29)*COS('Cartridge Info'!$B$18*PI()/180))</f>
        <v>0</v>
      </c>
      <c r="O29" s="347">
        <f>SUM(((B29-B28)*3)/'Ballistics Table'!C29)+O28</f>
        <v>2.1112466514025225</v>
      </c>
      <c r="P29" s="247">
        <f>IF(B29&gt;0,(((O29*('Cartridge Info'!$B$19*(1.466*12)))-'Cartridge Info'!$B$20)/((B29/100)*'Cartridge Info'!$B$13)),0)</f>
        <v>4.742016307224876</v>
      </c>
      <c r="Q29" s="248">
        <f>(O29*('Cartridge Info'!$B$19*(1.466*12)))-'Cartridge Info'!$B$20</f>
        <v>222.84630654883904</v>
      </c>
    </row>
    <row r="30" spans="1:17" ht="12.75">
      <c r="A30" s="233">
        <f t="shared" si="2"/>
        <v>1299.9841920000001</v>
      </c>
      <c r="B30" s="249">
        <f>B29+'Cartridge Info'!$B$9</f>
        <v>1421.68</v>
      </c>
      <c r="C30" s="250">
        <f>TRUNC(Calculations!S97+(-Calculations!M97-SQRT(Calculations!M97^2-4*Calculations!N97*(Calculations!L97-Calculations!J97)))/(2*Calculations!N97))</f>
        <v>1284</v>
      </c>
      <c r="D30" s="251">
        <f>TRUNC(C30^2*'Cartridge Info'!$B$6/450400.1)</f>
        <v>527</v>
      </c>
      <c r="E30" s="344">
        <f>-12*Calculations!U97*Calculations!T97^2</f>
        <v>-724.8433625810451</v>
      </c>
      <c r="F30" s="340">
        <f>E30-'Cartridge Info'!$B$12+((B30/100)*Calculations!$B$68)</f>
        <v>-669.5579801361083</v>
      </c>
      <c r="G30" s="338">
        <f>IF(B30&gt;0,SUM(('Ballistics Table'!F30/'Cartridge Info'!$B$14)/(B30/100)),0)</f>
        <v>-44.97360681389062</v>
      </c>
      <c r="H30" s="236">
        <f>IF(B30&gt;0,ABS(SUM(G30/'Cartridge Info'!$B$13)),0)</f>
        <v>13.082291923329134</v>
      </c>
      <c r="I30" s="252">
        <f t="shared" si="0"/>
        <v>3.2657592586421202</v>
      </c>
      <c r="J30" s="344">
        <f>ABS(($K$2*35.2)*(Calculations!T97-(3*B30)/'Cartridge Info'!$B$5))/2</f>
        <v>138.08711393193008</v>
      </c>
      <c r="K30" s="340">
        <f>IF(J30&gt;0,SUM((J30/'Cartridge Info'!$B$14)/(B30/100)),0)</f>
        <v>9.275187141787349</v>
      </c>
      <c r="L30" s="252">
        <f>SUM(K30/'Cartridge Info'!$B$13)</f>
        <v>2.6980425727138564</v>
      </c>
      <c r="M30" s="388">
        <f t="shared" si="1"/>
        <v>0.5034381412713902</v>
      </c>
      <c r="N30" s="253">
        <f>ABS(E30)-(ABS(E30)*COS('Cartridge Info'!$B$18*PI()/180))</f>
        <v>0</v>
      </c>
      <c r="O30" s="348">
        <f>SUM(((B30-B29)*3)/'Ballistics Table'!C30)+O29</f>
        <v>2.2390036607483172</v>
      </c>
      <c r="P30" s="239">
        <f>IF(B30&gt;0,(((O30*('Cartridge Info'!$B$19*(1.466*12)))-'Cartridge Info'!$B$20)/((B30/100)*'Cartridge Info'!$B$13)),0)</f>
        <v>4.835546163498796</v>
      </c>
      <c r="Q30" s="254">
        <f>(O30*('Cartridge Info'!$B$19*(1.466*12)))-'Cartridge Info'!$B$20</f>
        <v>236.33131439930636</v>
      </c>
    </row>
    <row r="31" spans="1:17" ht="12.75">
      <c r="A31" s="241">
        <f t="shared" si="2"/>
        <v>1349.983584</v>
      </c>
      <c r="B31" s="241">
        <f>B30+'Cartridge Info'!$B$9</f>
        <v>1476.3600000000001</v>
      </c>
      <c r="C31" s="242">
        <f>TRUNC(Calculations!S98+(-Calculations!M98-SQRT(Calculations!M98^2-4*Calculations!N98*(Calculations!L98-Calculations!J98)))/(2*Calculations!N98))</f>
        <v>1242</v>
      </c>
      <c r="D31" s="243">
        <f>TRUNC(C31^2*'Cartridge Info'!$B$6/450400.1)</f>
        <v>493</v>
      </c>
      <c r="E31" s="343">
        <f>-12*Calculations!U98*Calculations!T98^2</f>
        <v>-804.9534000142288</v>
      </c>
      <c r="F31" s="341">
        <f>E31-'Cartridge Info'!$B$12+((B31/100)*Calculations!$B$68)</f>
        <v>-747.4647336291022</v>
      </c>
      <c r="G31" s="339">
        <f>IF(B31&gt;0,SUM(('Ballistics Table'!F31/'Cartridge Info'!$B$14)/(B31/100)),0)</f>
        <v>-48.34703208320671</v>
      </c>
      <c r="H31" s="244">
        <f>IF(B31&gt;0,ABS(SUM(G31/'Cartridge Info'!$B$13)),0)</f>
        <v>14.063581556988172</v>
      </c>
      <c r="I31" s="245">
        <f t="shared" si="0"/>
        <v>3.373425269316094</v>
      </c>
      <c r="J31" s="343">
        <f>ABS(($K$2*35.2)*(Calculations!T98-(3*B31)/'Cartridge Info'!$B$5))/2</f>
        <v>151.07976807084574</v>
      </c>
      <c r="K31" s="341">
        <f>IF(J31&gt;0,SUM((J31/'Cartridge Info'!$B$14)/(B31/100)),0)</f>
        <v>9.772044172011784</v>
      </c>
      <c r="L31" s="245">
        <f>SUM(K31/'Cartridge Info'!$B$13)</f>
        <v>2.8425724241988126</v>
      </c>
      <c r="M31" s="387">
        <f t="shared" si="1"/>
        <v>0.49685703022443484</v>
      </c>
      <c r="N31" s="246">
        <f>ABS(E31)-(ABS(E31)*COS('Cartridge Info'!$B$18*PI()/180))</f>
        <v>0</v>
      </c>
      <c r="O31" s="347">
        <f>SUM(((B31-B30)*3)/'Ballistics Table'!C31)+O30</f>
        <v>2.3710809554343077</v>
      </c>
      <c r="P31" s="247">
        <f>IF(B31&gt;0,(((O31*('Cartridge Info'!$B$19*(1.466*12)))-'Cartridge Info'!$B$20)/((B31/100)*'Cartridge Info'!$B$13)),0)</f>
        <v>4.93113277187417</v>
      </c>
      <c r="Q31" s="248">
        <f>(O31*('Cartridge Info'!$B$19*(1.466*12)))-'Cartridge Info'!$B$20</f>
        <v>250.27233700800204</v>
      </c>
    </row>
    <row r="32" spans="1:17" ht="12.75">
      <c r="A32" s="233">
        <f t="shared" si="2"/>
        <v>1399.9829760000002</v>
      </c>
      <c r="B32" s="249">
        <f>B31+'Cartridge Info'!$B$9</f>
        <v>1531.0400000000002</v>
      </c>
      <c r="C32" s="250">
        <f>TRUNC(Calculations!S99+(-Calculations!M99-SQRT(Calculations!M99^2-4*Calculations!N99*(Calculations!L99-Calculations!J99)))/(2*Calculations!N99))</f>
        <v>1204</v>
      </c>
      <c r="D32" s="251">
        <f>TRUNC(C32^2*'Cartridge Info'!$B$6/450400.1)</f>
        <v>463</v>
      </c>
      <c r="E32" s="344">
        <f>-12*Calculations!U99*Calculations!T99^2</f>
        <v>-894.4443096673127</v>
      </c>
      <c r="F32" s="340">
        <f>E32-'Cartridge Info'!$B$12+((B32/100)*Calculations!$B$68)</f>
        <v>-834.7523593419962</v>
      </c>
      <c r="G32" s="338">
        <f>IF(B32&gt;0,SUM(('Ballistics Table'!F32/'Cartridge Info'!$B$14)/(B32/100)),0)</f>
        <v>-52.06459566578303</v>
      </c>
      <c r="H32" s="236">
        <f>IF(B32&gt;0,ABS(SUM(G32/'Cartridge Info'!$B$13)),0)</f>
        <v>15.14497696812472</v>
      </c>
      <c r="I32" s="252">
        <f t="shared" si="0"/>
        <v>3.717563582576318</v>
      </c>
      <c r="J32" s="344">
        <f>ABS(($K$2*35.2)*(Calculations!T99-(3*B32)/'Cartridge Info'!$B$5))/2</f>
        <v>165.36758970756154</v>
      </c>
      <c r="K32" s="340">
        <f>IF(J32&gt;0,SUM((J32/'Cartridge Info'!$B$14)/(B32/100)),0)</f>
        <v>10.314192703972795</v>
      </c>
      <c r="L32" s="252">
        <f>SUM(K32/'Cartridge Info'!$B$13)</f>
        <v>3.0002770394917015</v>
      </c>
      <c r="M32" s="388">
        <f t="shared" si="1"/>
        <v>0.5421485319610113</v>
      </c>
      <c r="N32" s="253">
        <f>ABS(E32)-(ABS(E32)*COS('Cartridge Info'!$B$18*PI()/180))</f>
        <v>0</v>
      </c>
      <c r="O32" s="348">
        <f>SUM(((B32-B31)*3)/'Ballistics Table'!C32)+O31</f>
        <v>2.507326802610388</v>
      </c>
      <c r="P32" s="239">
        <f>IF(B32&gt;0,(((O32*('Cartridge Info'!$B$19*(1.466*12)))-'Cartridge Info'!$B$20)/((B32/100)*'Cartridge Info'!$B$13)),0)</f>
        <v>5.0282514774682845</v>
      </c>
      <c r="Q32" s="254">
        <f>(O32*('Cartridge Info'!$B$19*(1.466*12)))-'Cartridge Info'!$B$20</f>
        <v>264.65335866913165</v>
      </c>
    </row>
    <row r="33" spans="1:17" ht="12.75">
      <c r="A33" s="241">
        <f t="shared" si="2"/>
        <v>1449.9823680000002</v>
      </c>
      <c r="B33" s="241">
        <f>B32+'Cartridge Info'!$B$9</f>
        <v>1585.7200000000003</v>
      </c>
      <c r="C33" s="242">
        <f>TRUNC(Calculations!S100+(-Calculations!M100-SQRT(Calculations!M100^2-4*Calculations!N100*(Calculations!L100-Calculations!J100)))/(2*Calculations!N100))</f>
        <v>1169</v>
      </c>
      <c r="D33" s="243">
        <f>TRUNC(C33^2*'Cartridge Info'!$B$6/450400.1)</f>
        <v>436</v>
      </c>
      <c r="E33" s="343">
        <f>-12*Calculations!U100*Calculations!T100^2</f>
        <v>-990.2438418294512</v>
      </c>
      <c r="F33" s="341">
        <f>E33-'Cartridge Info'!$B$12+((B33/100)*Calculations!$B$68)</f>
        <v>-928.3486075639448</v>
      </c>
      <c r="G33" s="339">
        <f>IF(B33&gt;0,SUM(('Ballistics Table'!F33/'Cartridge Info'!$B$14)/(B33/100)),0)</f>
        <v>-55.90568441072063</v>
      </c>
      <c r="H33" s="244">
        <f>IF(B33&gt;0,ABS(SUM(G33/'Cartridge Info'!$B$13)),0)</f>
        <v>16.262304392465683</v>
      </c>
      <c r="I33" s="245">
        <f t="shared" si="0"/>
        <v>3.8410887449376006</v>
      </c>
      <c r="J33" s="343">
        <f>ABS(($K$2*35.2)*(Calculations!T100-(3*B33)/'Cartridge Info'!$B$5))/2</f>
        <v>180.08614737967733</v>
      </c>
      <c r="K33" s="341">
        <f>IF(J33&gt;0,SUM((J33/'Cartridge Info'!$B$14)/(B33/100)),0)</f>
        <v>10.844890852553243</v>
      </c>
      <c r="L33" s="245">
        <f>SUM(K33/'Cartridge Info'!$B$13)</f>
        <v>3.154650873274483</v>
      </c>
      <c r="M33" s="387">
        <f t="shared" si="1"/>
        <v>0.5306981485804485</v>
      </c>
      <c r="N33" s="246">
        <f>ABS(E33)-(ABS(E33)*COS('Cartridge Info'!$B$18*PI()/180))</f>
        <v>0</v>
      </c>
      <c r="O33" s="347">
        <f>SUM(((B33-B32)*3)/'Ballistics Table'!C33)+O32</f>
        <v>2.6476518667677875</v>
      </c>
      <c r="P33" s="247">
        <f>IF(B33&gt;0,(((O33*('Cartridge Info'!$B$19*(1.466*12)))-'Cartridge Info'!$B$20)/((B33/100)*'Cartridge Info'!$B$13)),0)</f>
        <v>5.126570809734732</v>
      </c>
      <c r="Q33" s="248">
        <f>(O33*('Cartridge Info'!$B$19*(1.466*12)))-'Cartridge Info'!$B$20</f>
        <v>279.46494984107346</v>
      </c>
    </row>
    <row r="34" spans="1:17" ht="12.75">
      <c r="A34" s="233">
        <f t="shared" si="2"/>
        <v>1499.9817600000003</v>
      </c>
      <c r="B34" s="249">
        <f>B33+'Cartridge Info'!$B$9</f>
        <v>1640.4000000000003</v>
      </c>
      <c r="C34" s="250">
        <f>TRUNC(Calculations!S101+(-Calculations!M101-SQRT(Calculations!M101^2-4*Calculations!N101*(Calculations!L101-Calculations!J101)))/(2*Calculations!N101))</f>
        <v>1136</v>
      </c>
      <c r="D34" s="251">
        <f>TRUNC(C34^2*'Cartridge Info'!$B$6/450400.1)</f>
        <v>412</v>
      </c>
      <c r="E34" s="344">
        <f>-12*Calculations!U101*Calculations!T101^2</f>
        <v>-1094.9488140008873</v>
      </c>
      <c r="F34" s="340">
        <f>E34-'Cartridge Info'!$B$12+((B34/100)*Calculations!$B$68)</f>
        <v>-1030.850295795191</v>
      </c>
      <c r="G34" s="338">
        <f>IF(B34&gt;0,SUM(('Ballistics Table'!F34/'Cartridge Info'!$B$14)/(B34/100)),0)</f>
        <v>-60.009114909856265</v>
      </c>
      <c r="H34" s="236">
        <f>IF(B34&gt;0,ABS(SUM(G34/'Cartridge Info'!$B$13)),0)</f>
        <v>17.455943939743534</v>
      </c>
      <c r="I34" s="252">
        <f t="shared" si="0"/>
        <v>4.103430499135634</v>
      </c>
      <c r="J34" s="344">
        <f>ABS(($K$2*35.2)*(Calculations!T101-(3*B34)/'Cartridge Info'!$B$5))/2</f>
        <v>195.78877671179313</v>
      </c>
      <c r="K34" s="340">
        <f>IF(J34&gt;0,SUM((J34/'Cartridge Info'!$B$14)/(B34/100)),0)</f>
        <v>11.397495104461312</v>
      </c>
      <c r="L34" s="252">
        <f>SUM(K34/'Cartridge Info'!$B$13)</f>
        <v>3.3153969342130827</v>
      </c>
      <c r="M34" s="388">
        <f t="shared" si="1"/>
        <v>0.5526042519080683</v>
      </c>
      <c r="N34" s="253">
        <f>ABS(E34)-(ABS(E34)*COS('Cartridge Info'!$B$18*PI()/180))</f>
        <v>0</v>
      </c>
      <c r="O34" s="348">
        <f>SUM(((B34-B33)*3)/'Ballistics Table'!C34)+O33</f>
        <v>2.792053275218492</v>
      </c>
      <c r="P34" s="239">
        <f>IF(B34&gt;0,(((O34*('Cartridge Info'!$B$19*(1.466*12)))-'Cartridge Info'!$B$20)/((B34/100)*'Cartridge Info'!$B$13)),0)</f>
        <v>5.225965329114621</v>
      </c>
      <c r="Q34" s="254">
        <f>(O34*('Cartridge Info'!$B$19*(1.466*12)))-'Cartridge Info'!$B$20</f>
        <v>294.70680730586224</v>
      </c>
    </row>
    <row r="35" spans="1:17" ht="12.75">
      <c r="A35" s="241">
        <f t="shared" si="2"/>
        <v>1549.9811520000003</v>
      </c>
      <c r="B35" s="241">
        <f>B34+'Cartridge Info'!$B$9</f>
        <v>1695.0800000000004</v>
      </c>
      <c r="C35" s="242">
        <f>TRUNC(Calculations!S102+(-Calculations!M102-SQRT(Calculations!M102^2-4*Calculations!N102*(Calculations!L102-Calculations!J102)))/(2*Calculations!N102))</f>
        <v>1107</v>
      </c>
      <c r="D35" s="243">
        <f>TRUNC(C35^2*'Cartridge Info'!$B$6/450400.1)</f>
        <v>391</v>
      </c>
      <c r="E35" s="343">
        <f>-12*Calculations!U102*Calculations!T102^2</f>
        <v>-1207.999793522096</v>
      </c>
      <c r="F35" s="341">
        <f>E35-'Cartridge Info'!$B$12+((B35/100)*Calculations!$B$68)</f>
        <v>-1141.69799137621</v>
      </c>
      <c r="G35" s="339">
        <f>IF(B35&gt;0,SUM(('Ballistics Table'!F35/'Cartridge Info'!$B$14)/(B35/100)),0)</f>
        <v>-64.31798340335979</v>
      </c>
      <c r="H35" s="244">
        <f>IF(B35&gt;0,ABS(SUM(G35/'Cartridge Info'!$B$13)),0)</f>
        <v>18.709342977194943</v>
      </c>
      <c r="I35" s="245">
        <f t="shared" si="0"/>
        <v>4.308868493503525</v>
      </c>
      <c r="J35" s="343">
        <f>ABS(($K$2*35.2)*(Calculations!T102-(3*B35)/'Cartridge Info'!$B$5))/2</f>
        <v>212.1175504969087</v>
      </c>
      <c r="K35" s="341">
        <f>IF(J35&gt;0,SUM((J35/'Cartridge Info'!$B$14)/(B35/100)),0)</f>
        <v>11.949721551122446</v>
      </c>
      <c r="L35" s="245">
        <f>SUM(K35/'Cartridge Info'!$B$13)</f>
        <v>3.4760330960601764</v>
      </c>
      <c r="M35" s="387">
        <f t="shared" si="1"/>
        <v>0.552226446661134</v>
      </c>
      <c r="N35" s="246">
        <f>ABS(E35)-(ABS(E35)*COS('Cartridge Info'!$B$18*PI()/180))</f>
        <v>0</v>
      </c>
      <c r="O35" s="347">
        <f>SUM(((B35-B34)*3)/'Ballistics Table'!C35)+O34</f>
        <v>2.9402375570613106</v>
      </c>
      <c r="P35" s="247">
        <f>IF(B35&gt;0,(((O35*('Cartridge Info'!$B$19*(1.466*12)))-'Cartridge Info'!$B$20)/((B35/100)*'Cartridge Info'!$B$13)),0)</f>
        <v>5.32579940671451</v>
      </c>
      <c r="Q35" s="248">
        <f>(O35*('Cartridge Info'!$B$19*(1.466*12)))-'Cartridge Info'!$B$20</f>
        <v>310.34795462293545</v>
      </c>
    </row>
    <row r="36" spans="1:17" ht="12.75">
      <c r="A36" s="233">
        <f t="shared" si="2"/>
        <v>1599.9805440000005</v>
      </c>
      <c r="B36" s="249">
        <f>B35+'Cartridge Info'!$B$9</f>
        <v>1749.7600000000004</v>
      </c>
      <c r="C36" s="250">
        <f>TRUNC(Calculations!S103+(-Calculations!M103-SQRT(Calculations!M103^2-4*Calculations!N103*(Calculations!L103-Calculations!J103)))/(2*Calculations!N103))</f>
        <v>1081</v>
      </c>
      <c r="D36" s="251">
        <f>TRUNC(C36^2*'Cartridge Info'!$B$6/450400.1)</f>
        <v>373</v>
      </c>
      <c r="E36" s="344">
        <f>-12*Calculations!U103*Calculations!T103^2</f>
        <v>-1328.0591935377242</v>
      </c>
      <c r="F36" s="340">
        <f>E36-'Cartridge Info'!$B$12+((B36/100)*Calculations!$B$68)</f>
        <v>-1259.5541074516482</v>
      </c>
      <c r="G36" s="338">
        <f>IF(B36&gt;0,SUM(('Ballistics Table'!F36/'Cartridge Info'!$B$14)/(B36/100)),0)</f>
        <v>-68.74003141892489</v>
      </c>
      <c r="H36" s="236">
        <f>IF(B36&gt;0,ABS(SUM(G36/'Cartridge Info'!$B$13)),0)</f>
        <v>19.99566460307648</v>
      </c>
      <c r="I36" s="252">
        <f t="shared" si="0"/>
        <v>4.422048015565096</v>
      </c>
      <c r="J36" s="344">
        <f>ABS(($K$2*35.2)*(Calculations!T103-(3*B36)/'Cartridge Info'!$B$5))/2</f>
        <v>228.74040301202453</v>
      </c>
      <c r="K36" s="340">
        <f>IF(J36&gt;0,SUM((J36/'Cartridge Info'!$B$14)/(B36/100)),0)</f>
        <v>12.483483160272021</v>
      </c>
      <c r="L36" s="252">
        <f>SUM(K36/'Cartridge Info'!$B$13)</f>
        <v>3.6312980544002293</v>
      </c>
      <c r="M36" s="388">
        <f t="shared" si="1"/>
        <v>0.5337616091495754</v>
      </c>
      <c r="N36" s="253">
        <f>ABS(E36)-(ABS(E36)*COS('Cartridge Info'!$B$18*PI()/180))</f>
        <v>0</v>
      </c>
      <c r="O36" s="348">
        <f>SUM(((B36-B35)*3)/'Ballistics Table'!C36)+O35</f>
        <v>3.0919859381898953</v>
      </c>
      <c r="P36" s="239">
        <f>IF(B36&gt;0,(((O36*('Cartridge Info'!$B$19*(1.466*12)))-'Cartridge Info'!$B$20)/((B36/100)*'Cartridge Info'!$B$13)),0)</f>
        <v>5.425647941105897</v>
      </c>
      <c r="Q36" s="254">
        <f>(O36*('Cartridge Info'!$B$19*(1.466*12)))-'Cartridge Info'!$B$20</f>
        <v>326.3652997478198</v>
      </c>
    </row>
    <row r="37" spans="1:17" ht="12.75">
      <c r="A37" s="241">
        <f t="shared" si="2"/>
        <v>1649.9799360000004</v>
      </c>
      <c r="B37" s="241">
        <f>B36+'Cartridge Info'!$B$9</f>
        <v>1804.4400000000005</v>
      </c>
      <c r="C37" s="242">
        <f>TRUNC(Calculations!S104+(-Calculations!M104-SQRT(Calculations!M104^2-4*Calculations!N104*(Calculations!L104-Calculations!J104)))/(2*Calculations!N104))</f>
        <v>1057</v>
      </c>
      <c r="D37" s="243">
        <f>TRUNC(C37^2*'Cartridge Info'!$B$6/450400.1)</f>
        <v>357</v>
      </c>
      <c r="E37" s="343">
        <f>-12*Calculations!U104*Calculations!T104^2</f>
        <v>-1458.217736587527</v>
      </c>
      <c r="F37" s="341">
        <f>E37-'Cartridge Info'!$B$12+((B37/100)*Calculations!$B$68)</f>
        <v>-1387.5093665612612</v>
      </c>
      <c r="G37" s="339">
        <f>IF(B37&gt;0,SUM(('Ballistics Table'!F37/'Cartridge Info'!$B$14)/(B37/100)),0)</f>
        <v>-73.4285343733887</v>
      </c>
      <c r="H37" s="244">
        <f>IF(B37&gt;0,ABS(SUM(G37/'Cartridge Info'!$B$13)),0)</f>
        <v>21.359494828824403</v>
      </c>
      <c r="I37" s="245">
        <f t="shared" si="0"/>
        <v>4.688502954463814</v>
      </c>
      <c r="J37" s="343">
        <f>ABS(($K$2*35.2)*(Calculations!T104-(3*B37)/'Cartridge Info'!$B$5))/2</f>
        <v>246.2516872966404</v>
      </c>
      <c r="K37" s="341">
        <f>IF(J37&gt;0,SUM((J37/'Cartridge Info'!$B$14)/(B37/100)),0)</f>
        <v>13.031912375467178</v>
      </c>
      <c r="L37" s="245">
        <f>SUM(K37/'Cartridge Info'!$B$13)</f>
        <v>3.7908296463882962</v>
      </c>
      <c r="M37" s="387">
        <f t="shared" si="1"/>
        <v>0.5484292151951564</v>
      </c>
      <c r="N37" s="246">
        <f>ABS(E37)-(ABS(E37)*COS('Cartridge Info'!$B$18*PI()/180))</f>
        <v>0</v>
      </c>
      <c r="O37" s="347">
        <f>SUM(((B37-B36)*3)/'Ballistics Table'!C37)+O36</f>
        <v>3.2471798833176155</v>
      </c>
      <c r="P37" s="247">
        <f>IF(B37&gt;0,(((O37*('Cartridge Info'!$B$19*(1.466*12)))-'Cartridge Info'!$B$20)/((B37/100)*'Cartridge Info'!$B$13)),0)</f>
        <v>5.52530792179958</v>
      </c>
      <c r="Q37" s="248">
        <f>(O37*('Cartridge Info'!$B$19*(1.466*12)))-'Cartridge Info'!$B$20</f>
        <v>342.7463310439409</v>
      </c>
    </row>
    <row r="38" spans="1:17" ht="12.75">
      <c r="A38" s="233">
        <f t="shared" si="2"/>
        <v>1699.9793280000006</v>
      </c>
      <c r="B38" s="249">
        <f>B37+'Cartridge Info'!$B$9</f>
        <v>1859.1200000000006</v>
      </c>
      <c r="C38" s="250">
        <f>TRUNC(Calculations!S105+(-Calculations!M105-SQRT(Calculations!M105^2-4*Calculations!N105*(Calculations!L105-Calculations!J105)))/(2*Calculations!N105))</f>
        <v>1036</v>
      </c>
      <c r="D38" s="251">
        <f>TRUNC(C38^2*'Cartridge Info'!$B$6/450400.1)</f>
        <v>343</v>
      </c>
      <c r="E38" s="344">
        <f>-12*Calculations!U105*Calculations!T105^2</f>
        <v>-1592.6975030280098</v>
      </c>
      <c r="F38" s="340">
        <f>E38-'Cartridge Info'!$B$12+((B38/100)*Calculations!$B$68)</f>
        <v>-1519.785849061554</v>
      </c>
      <c r="G38" s="338">
        <f>IF(B38&gt;0,SUM(('Ballistics Table'!F38/'Cartridge Info'!$B$14)/(B38/100)),0)</f>
        <v>-78.0632009722641</v>
      </c>
      <c r="H38" s="236">
        <f>IF(B38&gt;0,ABS(SUM(G38/'Cartridge Info'!$B$13)),0)</f>
        <v>22.70766469353412</v>
      </c>
      <c r="I38" s="252">
        <f t="shared" si="0"/>
        <v>4.634666598875398</v>
      </c>
      <c r="J38" s="344">
        <f>ABS(($K$2*35.2)*(Calculations!T105-(3*B38)/'Cartridge Info'!$B$5))/2</f>
        <v>263.39408337200604</v>
      </c>
      <c r="K38" s="340">
        <f>IF(J38&gt;0,SUM((J38/'Cartridge Info'!$B$14)/(B38/100)),0)</f>
        <v>13.529133251155452</v>
      </c>
      <c r="L38" s="252">
        <f>SUM(K38/'Cartridge Info'!$B$13)</f>
        <v>3.9354653362284595</v>
      </c>
      <c r="M38" s="388">
        <f t="shared" si="1"/>
        <v>0.49722087568827433</v>
      </c>
      <c r="N38" s="253">
        <f>ABS(E38)-(ABS(E38)*COS('Cartridge Info'!$B$18*PI()/180))</f>
        <v>0</v>
      </c>
      <c r="O38" s="348">
        <f>SUM(((B38-B37)*3)/'Ballistics Table'!C38)+O37</f>
        <v>3.405519651657384</v>
      </c>
      <c r="P38" s="239">
        <f>IF(B38&gt;0,(((O38*('Cartridge Info'!$B$19*(1.466*12)))-'Cartridge Info'!$B$20)/((B38/100)*'Cartridge Info'!$B$13)),0)</f>
        <v>5.6243009564731254</v>
      </c>
      <c r="Q38" s="254">
        <f>(O38*('Cartridge Info'!$B$19*(1.466*12)))-'Cartridge Info'!$B$20</f>
        <v>359.4594102717402</v>
      </c>
    </row>
    <row r="39" spans="1:17" ht="12.75">
      <c r="A39" s="241">
        <f t="shared" si="2"/>
        <v>1749.9787200000005</v>
      </c>
      <c r="B39" s="241">
        <f>B38+'Cartridge Info'!$B$9</f>
        <v>1913.8000000000006</v>
      </c>
      <c r="C39" s="242">
        <f>TRUNC(Calculations!S106+(-Calculations!M106-SQRT(Calculations!M106^2-4*Calculations!N106*(Calculations!L106-Calculations!J106)))/(2*Calculations!N106))</f>
        <v>1016</v>
      </c>
      <c r="D39" s="243">
        <f>TRUNC(C39^2*'Cartridge Info'!$B$6/450400.1)</f>
        <v>330</v>
      </c>
      <c r="E39" s="343">
        <f>-12*Calculations!U106*Calculations!T106^2</f>
        <v>-1741.902863443154</v>
      </c>
      <c r="F39" s="341">
        <f>E39-'Cartridge Info'!$B$12+((B39/100)*Calculations!$B$68)</f>
        <v>-1666.7879255365085</v>
      </c>
      <c r="G39" s="339">
        <f>IF(B39&gt;0,SUM(('Ballistics Table'!F39/'Cartridge Info'!$B$14)/(B39/100)),0)</f>
        <v>-83.16779311370713</v>
      </c>
      <c r="H39" s="244">
        <f>IF(B39&gt;0,ABS(SUM(G39/'Cartridge Info'!$B$13)),0)</f>
        <v>24.192530357527605</v>
      </c>
      <c r="I39" s="245">
        <f t="shared" si="0"/>
        <v>5.104592141443035</v>
      </c>
      <c r="J39" s="343">
        <f>ABS(($K$2*35.2)*(Calculations!T106-(3*B39)/'Cartridge Info'!$B$5))/2</f>
        <v>282.1625308633719</v>
      </c>
      <c r="K39" s="341">
        <f>IF(J39&gt;0,SUM((J39/'Cartridge Info'!$B$14)/(B39/100)),0)</f>
        <v>14.079076667015917</v>
      </c>
      <c r="L39" s="245">
        <f>SUM(K39/'Cartridge Info'!$B$13)</f>
        <v>4.095437391335619</v>
      </c>
      <c r="M39" s="387">
        <f t="shared" si="1"/>
        <v>0.549943415860465</v>
      </c>
      <c r="N39" s="246">
        <f>ABS(E39)-(ABS(E39)*COS('Cartridge Info'!$B$18*PI()/180))</f>
        <v>0</v>
      </c>
      <c r="O39" s="347">
        <f>SUM(((B39-B38)*3)/'Ballistics Table'!C39)+O38</f>
        <v>3.56697634457077</v>
      </c>
      <c r="P39" s="247">
        <f>IF(B39&gt;0,(((O39*('Cartridge Info'!$B$19*(1.466*12)))-'Cartridge Info'!$B$20)/((B39/100)*'Cartridge Info'!$B$13)),0)</f>
        <v>5.722637848727023</v>
      </c>
      <c r="Q39" s="248">
        <f>(O39*('Cartridge Info'!$B$19*(1.466*12)))-'Cartridge Info'!$B$20</f>
        <v>376.5014871221339</v>
      </c>
    </row>
    <row r="40" spans="1:17" ht="12.75">
      <c r="A40" s="233">
        <f t="shared" si="2"/>
        <v>1799.9781120000007</v>
      </c>
      <c r="B40" s="249">
        <f>B39+'Cartridge Info'!$B$9</f>
        <v>1968.4800000000007</v>
      </c>
      <c r="C40" s="250">
        <f>TRUNC(Calculations!S107+(-Calculations!M107-SQRT(Calculations!M107^2-4*Calculations!N107*(Calculations!L107-Calculations!J107)))/(2*Calculations!N107))</f>
        <v>997</v>
      </c>
      <c r="D40" s="251">
        <f>TRUNC(C40^2*'Cartridge Info'!$B$6/450400.1)</f>
        <v>317</v>
      </c>
      <c r="E40" s="344">
        <f>-12*Calculations!U107*Calculations!T107^2</f>
        <v>-1904.5828347898976</v>
      </c>
      <c r="F40" s="340">
        <f>E40-'Cartridge Info'!$B$12+((B40/100)*Calculations!$B$68)</f>
        <v>-1827.264612943062</v>
      </c>
      <c r="G40" s="338">
        <f>IF(B40&gt;0,SUM(('Ballistics Table'!F40/'Cartridge Info'!$B$14)/(B40/100)),0)</f>
        <v>-88.64246387673344</v>
      </c>
      <c r="H40" s="236">
        <f>IF(B40&gt;0,ABS(SUM(G40/'Cartridge Info'!$B$13)),0)</f>
        <v>25.78504752881893</v>
      </c>
      <c r="I40" s="252">
        <f t="shared" si="0"/>
        <v>5.47467076302631</v>
      </c>
      <c r="J40" s="344">
        <f>ABS(($K$2*35.2)*(Calculations!T107-(3*B40)/'Cartridge Info'!$B$5))/2</f>
        <v>302.14896846048765</v>
      </c>
      <c r="K40" s="340">
        <f>IF(J40&gt;0,SUM((J40/'Cartridge Info'!$B$14)/(B40/100)),0)</f>
        <v>14.657553609059915</v>
      </c>
      <c r="L40" s="252">
        <f>SUM(K40/'Cartridge Info'!$B$13)</f>
        <v>4.2637095127612215</v>
      </c>
      <c r="M40" s="388">
        <f t="shared" si="1"/>
        <v>0.5784769420439986</v>
      </c>
      <c r="N40" s="253">
        <f>ABS(E40)-(ABS(E40)*COS('Cartridge Info'!$B$18*PI()/180))</f>
        <v>0</v>
      </c>
      <c r="O40" s="348">
        <f>SUM(((B40-B39)*3)/'Ballistics Table'!C40)+O39</f>
        <v>3.7315099453731775</v>
      </c>
      <c r="P40" s="239">
        <f>IF(B40&gt;0,(((O40*('Cartridge Info'!$B$19*(1.466*12)))-'Cartridge Info'!$B$20)/((B40/100)*'Cartridge Info'!$B$13)),0)</f>
        <v>5.820310860126344</v>
      </c>
      <c r="Q40" s="254">
        <f>(O40*('Cartridge Info'!$B$19*(1.466*12)))-'Cartridge Info'!$B$20</f>
        <v>393.8683377540296</v>
      </c>
    </row>
    <row r="41" spans="1:17" ht="12.75">
      <c r="A41" s="241">
        <f t="shared" si="2"/>
        <v>1849.9775040000006</v>
      </c>
      <c r="B41" s="241">
        <f>B40+'Cartridge Info'!$B$9</f>
        <v>2023.1600000000008</v>
      </c>
      <c r="C41" s="242">
        <f>TRUNC(Calculations!S108+(-Calculations!M108-SQRT(Calculations!M108^2-4*Calculations!N108*(Calculations!L108-Calculations!J108)))/(2*Calculations!N108))</f>
        <v>980</v>
      </c>
      <c r="D41" s="243">
        <f>TRUNC(C41^2*'Cartridge Info'!$B$6/450400.1)</f>
        <v>307</v>
      </c>
      <c r="E41" s="343">
        <f>-12*Calculations!U108*Calculations!T108^2</f>
        <v>-2070.754320555732</v>
      </c>
      <c r="F41" s="341">
        <f>E41-'Cartridge Info'!$B$12+((B41/100)*Calculations!$B$68)</f>
        <v>-1991.232814768707</v>
      </c>
      <c r="G41" s="339">
        <f>IF(B41&gt;0,SUM(('Ballistics Table'!F41/'Cartridge Info'!$B$14)/(B41/100)),0)</f>
        <v>-93.98600564974436</v>
      </c>
      <c r="H41" s="244">
        <f>IF(B41&gt;0,ABS(SUM(G41/'Cartridge Info'!$B$13)),0)</f>
        <v>27.339420823100525</v>
      </c>
      <c r="I41" s="245">
        <f t="shared" si="0"/>
        <v>5.343541773010912</v>
      </c>
      <c r="J41" s="343">
        <f>ABS(($K$2*35.2)*(Calculations!T108-(3*B41)/'Cartridge Info'!$B$5))/2</f>
        <v>321.50034586260347</v>
      </c>
      <c r="K41" s="341">
        <f>IF(J41&gt;0,SUM((J41/'Cartridge Info'!$B$14)/(B41/100)),0)</f>
        <v>15.174786744435623</v>
      </c>
      <c r="L41" s="245">
        <f>SUM(K41/'Cartridge Info'!$B$13)</f>
        <v>4.414166532973216</v>
      </c>
      <c r="M41" s="387">
        <f t="shared" si="1"/>
        <v>0.517233135375708</v>
      </c>
      <c r="N41" s="246">
        <f>ABS(E41)-(ABS(E41)*COS('Cartridge Info'!$B$18*PI()/180))</f>
        <v>0</v>
      </c>
      <c r="O41" s="347">
        <f>SUM(((B41-B40)*3)/'Ballistics Table'!C41)+O40</f>
        <v>3.8988977004752186</v>
      </c>
      <c r="P41" s="247">
        <f>IF(B41&gt;0,(((O41*('Cartridge Info'!$B$19*(1.466*12)))-'Cartridge Info'!$B$20)/((B41/100)*'Cartridge Info'!$B$13)),0)</f>
        <v>5.917035764081155</v>
      </c>
      <c r="Q41" s="248">
        <f>(O41*('Cartridge Info'!$B$19*(1.466*12)))-'Cartridge Info'!$B$20</f>
        <v>411.53645008056026</v>
      </c>
    </row>
    <row r="42" spans="1:17" ht="12.75">
      <c r="A42" s="233">
        <f t="shared" si="2"/>
        <v>1899.9768960000006</v>
      </c>
      <c r="B42" s="249">
        <f>B41+'Cartridge Info'!$B$9</f>
        <v>2077.8400000000006</v>
      </c>
      <c r="C42" s="250">
        <f>TRUNC(Calculations!S109+(-Calculations!M109-SQRT(Calculations!M109^2-4*Calculations!N109*(Calculations!L109-Calculations!J109)))/(2*Calculations!N109))</f>
        <v>964</v>
      </c>
      <c r="D42" s="251">
        <f>TRUNC(C42^2*'Cartridge Info'!$B$6/450400.1)</f>
        <v>297</v>
      </c>
      <c r="E42" s="344">
        <f>-12*Calculations!U109*Calculations!T109^2</f>
        <v>-2248.615669858611</v>
      </c>
      <c r="F42" s="340">
        <f>E42-'Cartridge Info'!$B$12+((B42/100)*Calculations!$B$68)</f>
        <v>-2166.890880131396</v>
      </c>
      <c r="G42" s="338">
        <f>IF(B42&gt;0,SUM(('Ballistics Table'!F42/'Cartridge Info'!$B$14)/(B42/100)),0)</f>
        <v>-99.58554885274877</v>
      </c>
      <c r="H42" s="236">
        <f>IF(B42&gt;0,ABS(SUM(G42/'Cartridge Info'!$B$13)),0)</f>
        <v>28.968261914768796</v>
      </c>
      <c r="I42" s="252">
        <f t="shared" si="0"/>
        <v>5.599543203004416</v>
      </c>
      <c r="J42" s="344">
        <f>ABS(($K$2*35.2)*(Calculations!T109-(3*B42)/'Cartridge Info'!$B$5))/2</f>
        <v>341.63392811671923</v>
      </c>
      <c r="K42" s="340">
        <f>IF(J42&gt;0,SUM((J42/'Cartridge Info'!$B$14)/(B42/100)),0)</f>
        <v>15.700745501389065</v>
      </c>
      <c r="L42" s="252">
        <f>SUM(K42/'Cartridge Info'!$B$13)</f>
        <v>4.567161733615452</v>
      </c>
      <c r="M42" s="388">
        <f t="shared" si="1"/>
        <v>0.5259587569534414</v>
      </c>
      <c r="N42" s="253">
        <f>ABS(E42)-(ABS(E42)*COS('Cartridge Info'!$B$18*PI()/180))</f>
        <v>0</v>
      </c>
      <c r="O42" s="348">
        <f>SUM(((B42-B41)*3)/'Ballistics Table'!C42)+O41</f>
        <v>4.069063675578953</v>
      </c>
      <c r="P42" s="239">
        <f>IF(B42&gt;0,(((O42*('Cartridge Info'!$B$19*(1.466*12)))-'Cartridge Info'!$B$20)/((B42/100)*'Cartridge Info'!$B$13)),0)</f>
        <v>6.012775204563549</v>
      </c>
      <c r="Q42" s="254">
        <f>(O42*('Cartridge Info'!$B$19*(1.466*12)))-'Cartridge Info'!$B$20</f>
        <v>429.49780908470956</v>
      </c>
    </row>
    <row r="43" spans="1:17" ht="12.75">
      <c r="A43" s="241">
        <f t="shared" si="2"/>
        <v>1949.9762880000003</v>
      </c>
      <c r="B43" s="241">
        <f>B42+'Cartridge Info'!$B$9</f>
        <v>2132.5200000000004</v>
      </c>
      <c r="C43" s="242">
        <f>TRUNC(Calculations!S110+(-Calculations!M110-SQRT(Calculations!M110^2-4*Calculations!N110*(Calculations!L110-Calculations!J110)))/(2*Calculations!N110))</f>
        <v>949</v>
      </c>
      <c r="D43" s="243">
        <f>TRUNC(C43^2*'Cartridge Info'!$B$6/450400.1)</f>
        <v>287</v>
      </c>
      <c r="E43" s="343">
        <f>-12*Calculations!U110*Calculations!T110^2</f>
        <v>-2436.256901765278</v>
      </c>
      <c r="F43" s="341">
        <f>E43-'Cartridge Info'!$B$12+((B43/100)*Calculations!$B$68)</f>
        <v>-2352.328828097873</v>
      </c>
      <c r="G43" s="339">
        <f>IF(B43&gt;0,SUM(('Ballistics Table'!F43/'Cartridge Info'!$B$14)/(B43/100)),0)</f>
        <v>-105.3358732680608</v>
      </c>
      <c r="H43" s="244">
        <f>IF(B43&gt;0,ABS(SUM(G43/'Cartridge Info'!$B$13)),0)</f>
        <v>30.640963483185676</v>
      </c>
      <c r="I43" s="245">
        <f t="shared" si="0"/>
        <v>5.750324415312022</v>
      </c>
      <c r="J43" s="343">
        <f>ABS(($K$2*35.2)*(Calculations!T110-(3*B43)/'Cartridge Info'!$B$5))/2</f>
        <v>362.1680598938351</v>
      </c>
      <c r="K43" s="341">
        <f>IF(J43&gt;0,SUM((J43/'Cartridge Info'!$B$14)/(B43/100)),0)</f>
        <v>16.217668381662666</v>
      </c>
      <c r="L43" s="245">
        <f>SUM(K43/'Cartridge Info'!$B$13)</f>
        <v>4.717528504276565</v>
      </c>
      <c r="M43" s="387">
        <f t="shared" si="1"/>
        <v>0.5169228802736008</v>
      </c>
      <c r="N43" s="246">
        <f>ABS(E43)-(ABS(E43)*COS('Cartridge Info'!$B$18*PI()/180))</f>
        <v>0</v>
      </c>
      <c r="O43" s="347">
        <f>SUM(((B43-B42)*3)/'Ballistics Table'!C43)+O42</f>
        <v>4.241919313092124</v>
      </c>
      <c r="P43" s="247">
        <f>IF(B43&gt;0,(((O43*('Cartridge Info'!$B$19*(1.466*12)))-'Cartridge Info'!$B$20)/((B43/100)*'Cartridge Info'!$B$13)),0)</f>
        <v>6.107477482026855</v>
      </c>
      <c r="Q43" s="248">
        <f>(O43*('Cartridge Info'!$B$19*(1.466*12)))-'Cartridge Info'!$B$20</f>
        <v>447.74306733549986</v>
      </c>
    </row>
    <row r="44" spans="1:17" ht="13.5" thickBot="1">
      <c r="A44" s="233">
        <f t="shared" si="2"/>
        <v>1999.9756800000002</v>
      </c>
      <c r="B44" s="255">
        <f>B43+'Cartridge Info'!$B$9</f>
        <v>2187.2000000000003</v>
      </c>
      <c r="C44" s="256">
        <f>TRUNC(Calculations!S111+(-Calculations!M111-SQRT(Calculations!M111^2-4*Calculations!N111*(Calculations!L111-Calculations!J111)))/(2*Calculations!N111))</f>
        <v>935</v>
      </c>
      <c r="D44" s="257">
        <f>TRUNC(C44^2*'Cartridge Info'!$B$6/450400.1)</f>
        <v>279</v>
      </c>
      <c r="E44" s="345">
        <f>-12*Calculations!U111*Calculations!T111^2</f>
        <v>-2631.024534006837</v>
      </c>
      <c r="F44" s="340">
        <f>E44-'Cartridge Info'!$B$12+((B44/100)*Calculations!$B$68)</f>
        <v>-2544.893176399242</v>
      </c>
      <c r="G44" s="338">
        <f>IF(B44&gt;0,SUM(('Ballistics Table'!F44/'Cartridge Info'!$B$14)/(B44/100)),0)</f>
        <v>-111.10981949472587</v>
      </c>
      <c r="H44" s="236">
        <f>IF(B44&gt;0,ABS(SUM(G44/'Cartridge Info'!$B$13)),0)</f>
        <v>32.32053635799248</v>
      </c>
      <c r="I44" s="258">
        <f t="shared" si="0"/>
        <v>5.773946226665075</v>
      </c>
      <c r="J44" s="345">
        <f>ABS(($K$2*35.2)*(Calculations!T111-(3*B44)/'Cartridge Info'!$B$5))/2</f>
        <v>382.6654809639508</v>
      </c>
      <c r="K44" s="340">
        <f>IF(J44&gt;0,SUM((J44/'Cartridge Info'!$B$14)/(B44/100)),0)</f>
        <v>16.707142331579277</v>
      </c>
      <c r="L44" s="258">
        <f>SUM(K44/'Cartridge Info'!$B$13)</f>
        <v>4.859910704756343</v>
      </c>
      <c r="M44" s="388">
        <f t="shared" si="1"/>
        <v>0.4894739499166114</v>
      </c>
      <c r="N44" s="253">
        <f>ABS(E44)-(ABS(E44)*COS('Cartridge Info'!$B$18*PI()/180))</f>
        <v>0</v>
      </c>
      <c r="O44" s="349">
        <f>SUM(((B44-B43)*3)/'Ballistics Table'!C44)+O43</f>
        <v>4.417363163359503</v>
      </c>
      <c r="P44" s="239">
        <f>IF(B44&gt;0,(((O44*('Cartridge Info'!$B$19*(1.466*12)))-'Cartridge Info'!$B$20)/((B44/100)*'Cartridge Info'!$B$13)),0)</f>
        <v>6.201077969049051</v>
      </c>
      <c r="Q44" s="254">
        <f>(O44*('Cartridge Info'!$B$19*(1.466*12)))-'Cartridge Info'!$B$20</f>
        <v>466.2615166189222</v>
      </c>
    </row>
    <row r="45" spans="1:17" ht="12.75">
      <c r="A45" s="414" t="s">
        <v>44</v>
      </c>
      <c r="B45" s="415"/>
      <c r="C45" s="219" t="s">
        <v>102</v>
      </c>
      <c r="D45" s="220" t="s">
        <v>43</v>
      </c>
      <c r="E45" s="142" t="s">
        <v>45</v>
      </c>
      <c r="F45" s="136" t="s">
        <v>50</v>
      </c>
      <c r="G45" s="219" t="s">
        <v>46</v>
      </c>
      <c r="H45" s="136" t="s">
        <v>57</v>
      </c>
      <c r="I45" s="220" t="s">
        <v>59</v>
      </c>
      <c r="J45" s="142" t="s">
        <v>60</v>
      </c>
      <c r="K45" s="221">
        <f>SUM('Cartridge Info'!B16)</f>
        <v>10</v>
      </c>
      <c r="L45" s="222" t="s">
        <v>54</v>
      </c>
      <c r="M45" s="385"/>
      <c r="N45" s="139"/>
      <c r="O45" s="187" t="s">
        <v>56</v>
      </c>
      <c r="P45" s="183" t="s">
        <v>104</v>
      </c>
      <c r="Q45" s="259">
        <f>'Cartridge Info'!B19</f>
        <v>6</v>
      </c>
    </row>
    <row r="46" spans="1:17" ht="13.5" thickBot="1">
      <c r="A46" s="225" t="s">
        <v>250</v>
      </c>
      <c r="B46" s="225" t="s">
        <v>37</v>
      </c>
      <c r="C46" s="226" t="s">
        <v>38</v>
      </c>
      <c r="D46" s="227" t="s">
        <v>39</v>
      </c>
      <c r="E46" s="228" t="s">
        <v>42</v>
      </c>
      <c r="F46" s="229" t="s">
        <v>51</v>
      </c>
      <c r="G46" s="226" t="s">
        <v>42</v>
      </c>
      <c r="H46" s="229" t="s">
        <v>42</v>
      </c>
      <c r="I46" s="227" t="s">
        <v>46</v>
      </c>
      <c r="J46" s="230" t="s">
        <v>55</v>
      </c>
      <c r="K46" s="229" t="s">
        <v>46</v>
      </c>
      <c r="L46" s="231" t="s">
        <v>58</v>
      </c>
      <c r="M46" s="188"/>
      <c r="N46" s="232" t="str">
        <f>CONCATENATE('Cartridge Info'!B18," Deg")</f>
        <v>0 Deg</v>
      </c>
      <c r="O46" s="191" t="s">
        <v>103</v>
      </c>
      <c r="P46" s="188" t="s">
        <v>52</v>
      </c>
      <c r="Q46" s="260" t="s">
        <v>55</v>
      </c>
    </row>
  </sheetData>
  <mergeCells count="4">
    <mergeCell ref="H1:O1"/>
    <mergeCell ref="A2:B2"/>
    <mergeCell ref="A45:B45"/>
    <mergeCell ref="A1:G1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Z191"/>
  <sheetViews>
    <sheetView workbookViewId="0" topLeftCell="C15">
      <selection activeCell="G20" sqref="G20"/>
    </sheetView>
  </sheetViews>
  <sheetFormatPr defaultColWidth="9.00390625" defaultRowHeight="12.75"/>
  <cols>
    <col min="1" max="1" width="11.50390625" style="0" customWidth="1"/>
    <col min="2" max="2" width="10.875" style="0" bestFit="1" customWidth="1"/>
    <col min="8" max="8" width="13.00390625" style="0" bestFit="1" customWidth="1"/>
    <col min="9" max="9" width="14.00390625" style="0" bestFit="1" customWidth="1"/>
    <col min="17" max="17" width="11.875" style="0" bestFit="1" customWidth="1"/>
  </cols>
  <sheetData>
    <row r="1" spans="1:26" ht="20.25">
      <c r="A1" s="273" t="s">
        <v>64</v>
      </c>
      <c r="B1" s="274"/>
      <c r="C1" s="42"/>
      <c r="D1" s="273" t="s">
        <v>64</v>
      </c>
      <c r="E1" s="275"/>
      <c r="F1" s="42"/>
      <c r="G1" s="276" t="s">
        <v>64</v>
      </c>
      <c r="H1" s="277"/>
      <c r="I1" s="277"/>
      <c r="J1" s="278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2.75">
      <c r="A2" s="279" t="s">
        <v>65</v>
      </c>
      <c r="B2" s="280"/>
      <c r="C2" s="42"/>
      <c r="D2" s="279" t="s">
        <v>49</v>
      </c>
      <c r="E2" s="281"/>
      <c r="F2" s="42"/>
      <c r="G2" s="282" t="s">
        <v>69</v>
      </c>
      <c r="H2" s="283"/>
      <c r="I2" s="417" t="s">
        <v>71</v>
      </c>
      <c r="J2" s="418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2.75">
      <c r="A3" s="251" t="s">
        <v>66</v>
      </c>
      <c r="B3" s="284" t="s">
        <v>63</v>
      </c>
      <c r="C3" s="42"/>
      <c r="D3" s="285" t="s">
        <v>48</v>
      </c>
      <c r="E3" s="286"/>
      <c r="F3" s="42"/>
      <c r="G3" s="287" t="s">
        <v>70</v>
      </c>
      <c r="H3" s="283" t="s">
        <v>57</v>
      </c>
      <c r="I3" s="287" t="s">
        <v>40</v>
      </c>
      <c r="J3" s="287" t="s">
        <v>41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3.5" thickBot="1">
      <c r="A4" s="2">
        <v>69</v>
      </c>
      <c r="B4" s="288">
        <f>A4*9/5+32</f>
        <v>156.2</v>
      </c>
      <c r="C4" s="42"/>
      <c r="D4" s="2">
        <v>180</v>
      </c>
      <c r="E4" s="158">
        <f>D4*0.9144</f>
        <v>164.59199999999998</v>
      </c>
      <c r="F4" s="42"/>
      <c r="G4" s="8">
        <v>6</v>
      </c>
      <c r="H4" s="8">
        <v>2</v>
      </c>
      <c r="I4" s="289">
        <f aca="true" t="shared" si="0" ref="I4:I9">IF((G4+H4)&gt;0,((G4*27.77778)/H4),0)</f>
        <v>83.33333999999999</v>
      </c>
      <c r="J4" s="289">
        <f aca="true" t="shared" si="1" ref="J4:J9">I4*0.9144</f>
        <v>76.200006096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3.5" thickBot="1">
      <c r="A5" s="290"/>
      <c r="B5" s="291"/>
      <c r="C5" s="42"/>
      <c r="D5" s="292"/>
      <c r="E5" s="292"/>
      <c r="F5" s="42"/>
      <c r="G5" s="9">
        <v>8</v>
      </c>
      <c r="H5" s="10">
        <v>3</v>
      </c>
      <c r="I5" s="293">
        <f t="shared" si="0"/>
        <v>74.07408</v>
      </c>
      <c r="J5" s="294">
        <f t="shared" si="1"/>
        <v>67.733338752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3.5" thickBot="1">
      <c r="A6" s="251" t="s">
        <v>67</v>
      </c>
      <c r="B6" s="295" t="s">
        <v>68</v>
      </c>
      <c r="C6" s="42"/>
      <c r="D6" s="285" t="s">
        <v>47</v>
      </c>
      <c r="E6" s="286"/>
      <c r="F6" s="42"/>
      <c r="G6" s="11">
        <v>9</v>
      </c>
      <c r="H6" s="11">
        <v>4</v>
      </c>
      <c r="I6" s="296">
        <f t="shared" si="0"/>
        <v>62.500005</v>
      </c>
      <c r="J6" s="296">
        <f t="shared" si="1"/>
        <v>57.150004572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3.5" thickBot="1">
      <c r="A7" s="7">
        <v>33</v>
      </c>
      <c r="B7" s="288">
        <f>(A7-32)*5/9</f>
        <v>0.5555555555555556</v>
      </c>
      <c r="C7" s="42"/>
      <c r="D7" s="2">
        <v>111</v>
      </c>
      <c r="E7" s="158">
        <f>D7/0.9144</f>
        <v>121.39107611548556</v>
      </c>
      <c r="F7" s="42"/>
      <c r="G7" s="9">
        <v>10</v>
      </c>
      <c r="H7" s="10">
        <v>5</v>
      </c>
      <c r="I7" s="293">
        <f t="shared" si="0"/>
        <v>55.55556</v>
      </c>
      <c r="J7" s="294">
        <f t="shared" si="1"/>
        <v>50.800004064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3.5" thickBot="1">
      <c r="A8" s="291"/>
      <c r="B8" s="290"/>
      <c r="C8" s="42"/>
      <c r="D8" s="42"/>
      <c r="E8" s="42"/>
      <c r="F8" s="42"/>
      <c r="G8" s="11">
        <v>11</v>
      </c>
      <c r="H8" s="11">
        <v>6</v>
      </c>
      <c r="I8" s="296">
        <f t="shared" si="0"/>
        <v>50.92593</v>
      </c>
      <c r="J8" s="296">
        <f t="shared" si="1"/>
        <v>46.566670392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3.5" thickBot="1">
      <c r="A9" s="297" t="s">
        <v>61</v>
      </c>
      <c r="B9" s="278"/>
      <c r="C9" s="42"/>
      <c r="D9" s="42"/>
      <c r="E9" s="42"/>
      <c r="F9" s="42"/>
      <c r="G9" s="9">
        <v>12</v>
      </c>
      <c r="H9" s="10">
        <v>7</v>
      </c>
      <c r="I9" s="293">
        <f t="shared" si="0"/>
        <v>47.619051428571424</v>
      </c>
      <c r="J9" s="294">
        <f t="shared" si="1"/>
        <v>43.54286062628571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>
      <c r="A10" s="298" t="s">
        <v>62</v>
      </c>
      <c r="B10" s="298" t="s">
        <v>63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20.25">
      <c r="A11" s="299">
        <v>40</v>
      </c>
      <c r="B11" s="299">
        <v>104</v>
      </c>
      <c r="C11" s="42"/>
      <c r="D11" s="42"/>
      <c r="E11" s="42"/>
      <c r="F11" s="42"/>
      <c r="G11" s="273" t="s">
        <v>64</v>
      </c>
      <c r="H11" s="300"/>
      <c r="I11" s="300"/>
      <c r="J11" s="27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3.5" thickBot="1">
      <c r="A12" s="301">
        <v>35</v>
      </c>
      <c r="B12" s="301">
        <v>95</v>
      </c>
      <c r="C12" s="42"/>
      <c r="D12" s="42"/>
      <c r="E12" s="42"/>
      <c r="F12" s="42"/>
      <c r="G12" s="419" t="s">
        <v>77</v>
      </c>
      <c r="H12" s="420"/>
      <c r="I12" s="420"/>
      <c r="J12" s="42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3.5" thickBot="1">
      <c r="A13" s="299">
        <v>30</v>
      </c>
      <c r="B13" s="299">
        <v>86</v>
      </c>
      <c r="C13" s="42"/>
      <c r="D13" s="42"/>
      <c r="E13" s="42"/>
      <c r="F13" s="42"/>
      <c r="G13" s="302" t="s">
        <v>52</v>
      </c>
      <c r="H13" s="303" t="s">
        <v>46</v>
      </c>
      <c r="I13" s="302" t="s">
        <v>46</v>
      </c>
      <c r="J13" s="303" t="s">
        <v>52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3.5" thickBot="1">
      <c r="A14" s="301">
        <v>25</v>
      </c>
      <c r="B14" s="301">
        <v>77</v>
      </c>
      <c r="C14" s="42"/>
      <c r="D14" s="42"/>
      <c r="E14" s="42"/>
      <c r="F14" s="42"/>
      <c r="G14" s="9">
        <v>1</v>
      </c>
      <c r="H14" s="304">
        <f>G14*'Cartridge Info'!B13</f>
        <v>3.437746770784939</v>
      </c>
      <c r="I14" s="9">
        <v>3.43</v>
      </c>
      <c r="J14" s="304">
        <f>I14/'Cartridge Info'!B13</f>
        <v>0.9977465557234252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 thickBot="1">
      <c r="A15" s="299">
        <v>20</v>
      </c>
      <c r="B15" s="299">
        <v>68</v>
      </c>
      <c r="C15" s="42"/>
      <c r="D15" s="42"/>
      <c r="E15" s="42"/>
      <c r="F15" s="42"/>
      <c r="G15" s="9">
        <v>3</v>
      </c>
      <c r="H15" s="305">
        <f>G15*'Cartridge Info'!B13</f>
        <v>10.313240312354818</v>
      </c>
      <c r="I15" s="9">
        <v>6</v>
      </c>
      <c r="J15" s="305">
        <f>I15/'Cartridge Info'!B13</f>
        <v>1.7453292519943295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 thickBot="1">
      <c r="A16" s="301">
        <v>15</v>
      </c>
      <c r="B16" s="301">
        <v>59</v>
      </c>
      <c r="C16" s="42"/>
      <c r="D16" s="42"/>
      <c r="E16" s="42"/>
      <c r="F16" s="42"/>
      <c r="G16" s="5">
        <v>4</v>
      </c>
      <c r="H16" s="306">
        <f>G16*'Cartridge Info'!B13</f>
        <v>13.750987083139757</v>
      </c>
      <c r="I16" s="5">
        <v>7</v>
      </c>
      <c r="J16" s="306">
        <f>I16/'Cartridge Info'!B13</f>
        <v>2.036217460660051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>
      <c r="A17" s="299">
        <v>10</v>
      </c>
      <c r="B17" s="299">
        <v>50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.75">
      <c r="A18" s="301">
        <v>5</v>
      </c>
      <c r="B18" s="301">
        <v>41</v>
      </c>
      <c r="C18" s="42"/>
      <c r="D18" s="42"/>
      <c r="E18" s="42"/>
      <c r="F18" s="42"/>
      <c r="G18" s="42" t="s">
        <v>100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>
      <c r="A19" s="299">
        <v>0</v>
      </c>
      <c r="B19" s="299">
        <v>32</v>
      </c>
      <c r="C19" s="42"/>
      <c r="D19" s="42"/>
      <c r="E19" s="42"/>
      <c r="F19" s="42"/>
      <c r="G19" s="307" t="s">
        <v>88</v>
      </c>
      <c r="H19" s="307" t="s">
        <v>89</v>
      </c>
      <c r="I19" s="307" t="s">
        <v>80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75">
      <c r="A20" s="299"/>
      <c r="B20" s="299"/>
      <c r="C20" s="42"/>
      <c r="D20" s="42"/>
      <c r="E20" s="42"/>
      <c r="F20" s="42"/>
      <c r="G20" s="307">
        <v>0.5</v>
      </c>
      <c r="H20" s="383">
        <f>SIN(K20)</f>
        <v>0.25881904510252074</v>
      </c>
      <c r="I20" s="308" t="s">
        <v>90</v>
      </c>
      <c r="J20" s="42">
        <f aca="true" t="shared" si="2" ref="J20:J30">G20*30</f>
        <v>15</v>
      </c>
      <c r="K20" s="42">
        <f aca="true" t="shared" si="3" ref="K20:K25">RADIANS(J20)</f>
        <v>0.2617993877991494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75">
      <c r="A21" s="301">
        <v>-5</v>
      </c>
      <c r="B21" s="301">
        <v>23</v>
      </c>
      <c r="C21" s="42"/>
      <c r="D21" s="42"/>
      <c r="E21" s="42"/>
      <c r="F21" s="42"/>
      <c r="G21" s="308">
        <v>1</v>
      </c>
      <c r="H21" s="383">
        <f>SIN(K21)</f>
        <v>0.49999999999999994</v>
      </c>
      <c r="I21" s="308" t="s">
        <v>90</v>
      </c>
      <c r="J21" s="42">
        <f t="shared" si="2"/>
        <v>30</v>
      </c>
      <c r="K21" s="42">
        <f t="shared" si="3"/>
        <v>0.5235987755982988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75">
      <c r="A22" s="301"/>
      <c r="B22" s="301"/>
      <c r="C22" s="42"/>
      <c r="D22" s="42"/>
      <c r="E22" s="42"/>
      <c r="F22" s="42"/>
      <c r="G22" s="308">
        <v>1.5</v>
      </c>
      <c r="H22" s="383">
        <f>SIN(K22)</f>
        <v>0.7071067811865475</v>
      </c>
      <c r="I22" s="308" t="s">
        <v>90</v>
      </c>
      <c r="J22" s="42">
        <f t="shared" si="2"/>
        <v>45</v>
      </c>
      <c r="K22" s="42">
        <f t="shared" si="3"/>
        <v>0.7853981633974483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>
      <c r="A23" s="299">
        <v>-10</v>
      </c>
      <c r="B23" s="299">
        <v>14</v>
      </c>
      <c r="C23" s="42"/>
      <c r="D23" s="42"/>
      <c r="E23" s="42"/>
      <c r="F23" s="42"/>
      <c r="G23" s="307">
        <v>2</v>
      </c>
      <c r="H23" s="383">
        <f>SIN(K23)</f>
        <v>0.8660254037844386</v>
      </c>
      <c r="I23" s="307" t="s">
        <v>90</v>
      </c>
      <c r="J23" s="42">
        <f t="shared" si="2"/>
        <v>60</v>
      </c>
      <c r="K23" s="42">
        <f t="shared" si="3"/>
        <v>1.0471975511965976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>
      <c r="A24" s="299"/>
      <c r="B24" s="299"/>
      <c r="C24" s="42"/>
      <c r="D24" s="42"/>
      <c r="E24" s="42"/>
      <c r="F24" s="42"/>
      <c r="G24" s="307">
        <v>2.5</v>
      </c>
      <c r="H24" s="383">
        <f aca="true" t="shared" si="4" ref="H24:H30">SIN(K24)</f>
        <v>0.9659258262890683</v>
      </c>
      <c r="I24" s="307" t="s">
        <v>90</v>
      </c>
      <c r="J24" s="42">
        <f t="shared" si="2"/>
        <v>75</v>
      </c>
      <c r="K24" s="42">
        <f t="shared" si="3"/>
        <v>1.3089969389957472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75">
      <c r="A25" s="301">
        <v>-15</v>
      </c>
      <c r="B25" s="301">
        <v>5</v>
      </c>
      <c r="C25" s="42"/>
      <c r="D25" s="42"/>
      <c r="E25" s="42"/>
      <c r="F25" s="42"/>
      <c r="G25" s="308">
        <v>3</v>
      </c>
      <c r="H25" s="383">
        <f t="shared" si="4"/>
        <v>1</v>
      </c>
      <c r="I25" s="308" t="s">
        <v>90</v>
      </c>
      <c r="J25" s="42">
        <f t="shared" si="2"/>
        <v>90</v>
      </c>
      <c r="K25" s="42">
        <f t="shared" si="3"/>
        <v>1.5707963267948966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75">
      <c r="A26" s="301"/>
      <c r="B26" s="301"/>
      <c r="C26" s="42"/>
      <c r="D26" s="42"/>
      <c r="E26" s="42"/>
      <c r="F26" s="42"/>
      <c r="G26" s="308">
        <v>3.5</v>
      </c>
      <c r="H26" s="383">
        <f t="shared" si="4"/>
        <v>0.9659258262890683</v>
      </c>
      <c r="I26" s="308" t="s">
        <v>90</v>
      </c>
      <c r="J26" s="42">
        <f t="shared" si="2"/>
        <v>105</v>
      </c>
      <c r="K26" s="42">
        <f aca="true" t="shared" si="5" ref="K26:K42">RADIANS(J26)</f>
        <v>1.8325957145940461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>
      <c r="A27" s="299">
        <v>-20</v>
      </c>
      <c r="B27" s="299">
        <v>-4</v>
      </c>
      <c r="C27" s="42"/>
      <c r="D27" s="42"/>
      <c r="E27" s="42"/>
      <c r="F27" s="42"/>
      <c r="G27" s="307">
        <v>4</v>
      </c>
      <c r="H27" s="383">
        <f t="shared" si="4"/>
        <v>0.8660254037844387</v>
      </c>
      <c r="I27" s="307" t="s">
        <v>90</v>
      </c>
      <c r="J27" s="42">
        <f t="shared" si="2"/>
        <v>120</v>
      </c>
      <c r="K27" s="42">
        <f t="shared" si="5"/>
        <v>2.0943951023931953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75">
      <c r="A28" s="299"/>
      <c r="B28" s="299"/>
      <c r="C28" s="42"/>
      <c r="D28" s="42"/>
      <c r="E28" s="42"/>
      <c r="F28" s="42"/>
      <c r="G28" s="307">
        <v>4.5</v>
      </c>
      <c r="H28" s="383">
        <f t="shared" si="4"/>
        <v>0.7071067811865476</v>
      </c>
      <c r="I28" s="307" t="s">
        <v>90</v>
      </c>
      <c r="J28" s="42">
        <f t="shared" si="2"/>
        <v>135</v>
      </c>
      <c r="K28" s="42">
        <f t="shared" si="5"/>
        <v>2.356194490192345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>
      <c r="A29" s="301">
        <v>-25</v>
      </c>
      <c r="B29" s="301">
        <v>-13</v>
      </c>
      <c r="C29" s="42"/>
      <c r="D29" s="42"/>
      <c r="E29" s="42"/>
      <c r="F29" s="42"/>
      <c r="G29" s="308">
        <v>5</v>
      </c>
      <c r="H29" s="383">
        <f t="shared" si="4"/>
        <v>0.49999999999999994</v>
      </c>
      <c r="I29" s="308" t="s">
        <v>90</v>
      </c>
      <c r="J29" s="42">
        <f t="shared" si="2"/>
        <v>150</v>
      </c>
      <c r="K29" s="42">
        <f t="shared" si="5"/>
        <v>2.6179938779914944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>
      <c r="A30" s="382"/>
      <c r="B30" s="382"/>
      <c r="C30" s="42"/>
      <c r="D30" s="42"/>
      <c r="E30" s="42"/>
      <c r="F30" s="42"/>
      <c r="G30" s="308">
        <v>5.5</v>
      </c>
      <c r="H30" s="383">
        <f t="shared" si="4"/>
        <v>0.258819045102521</v>
      </c>
      <c r="I30" s="308" t="s">
        <v>90</v>
      </c>
      <c r="J30" s="42">
        <f t="shared" si="2"/>
        <v>165</v>
      </c>
      <c r="K30" s="42">
        <f t="shared" si="5"/>
        <v>2.8797932657906435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">
      <c r="A31" s="42"/>
      <c r="B31" s="42"/>
      <c r="C31" s="42"/>
      <c r="D31" s="42"/>
      <c r="E31" s="42"/>
      <c r="F31" s="42"/>
      <c r="G31" s="307">
        <v>6</v>
      </c>
      <c r="H31" s="384">
        <v>0</v>
      </c>
      <c r="I31" s="307" t="s">
        <v>92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">
      <c r="A32" s="42"/>
      <c r="B32" s="42"/>
      <c r="C32" s="42"/>
      <c r="D32" s="42"/>
      <c r="E32" s="42"/>
      <c r="F32" s="42"/>
      <c r="G32" s="307">
        <v>6.5</v>
      </c>
      <c r="H32" s="383">
        <f>-SIN(K32)</f>
        <v>0.2588190451025208</v>
      </c>
      <c r="I32" s="307" t="s">
        <v>91</v>
      </c>
      <c r="J32" s="42">
        <f aca="true" t="shared" si="6" ref="J32:J42">G32*30</f>
        <v>195</v>
      </c>
      <c r="K32" s="42">
        <f t="shared" si="5"/>
        <v>3.4033920413889427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2">
      <c r="A33" s="42"/>
      <c r="B33" s="42"/>
      <c r="C33" s="42"/>
      <c r="D33" s="42"/>
      <c r="E33" s="42"/>
      <c r="F33" s="42"/>
      <c r="G33" s="308">
        <v>7</v>
      </c>
      <c r="H33" s="383">
        <f aca="true" t="shared" si="7" ref="H33:H42">-SIN(K33)</f>
        <v>0.5000000000000001</v>
      </c>
      <c r="I33" s="308" t="s">
        <v>91</v>
      </c>
      <c r="J33" s="42">
        <f t="shared" si="6"/>
        <v>210</v>
      </c>
      <c r="K33" s="42">
        <f t="shared" si="5"/>
        <v>3.6651914291880923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2">
      <c r="A34" s="42"/>
      <c r="B34" s="42"/>
      <c r="C34" s="42"/>
      <c r="D34" s="42"/>
      <c r="E34" s="42"/>
      <c r="F34" s="42"/>
      <c r="G34" s="308">
        <v>7.5</v>
      </c>
      <c r="H34" s="383">
        <f t="shared" si="7"/>
        <v>0.7071067811865475</v>
      </c>
      <c r="I34" s="308" t="s">
        <v>91</v>
      </c>
      <c r="J34" s="42">
        <f t="shared" si="6"/>
        <v>225</v>
      </c>
      <c r="K34" s="42">
        <f t="shared" si="5"/>
        <v>3.9269908169872414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">
      <c r="A35" s="42"/>
      <c r="B35" s="42"/>
      <c r="C35" s="42"/>
      <c r="D35" s="42"/>
      <c r="E35" s="42"/>
      <c r="F35" s="42"/>
      <c r="G35" s="307">
        <v>8</v>
      </c>
      <c r="H35" s="383">
        <f t="shared" si="7"/>
        <v>0.8660254037844384</v>
      </c>
      <c r="I35" s="307" t="s">
        <v>91</v>
      </c>
      <c r="J35" s="42">
        <f t="shared" si="6"/>
        <v>240</v>
      </c>
      <c r="K35" s="42">
        <f t="shared" si="5"/>
        <v>4.1887902047863905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">
      <c r="A36" s="42"/>
      <c r="B36" s="42"/>
      <c r="C36" s="42"/>
      <c r="D36" s="42"/>
      <c r="E36" s="42"/>
      <c r="F36" s="42"/>
      <c r="G36" s="307">
        <v>8.5</v>
      </c>
      <c r="H36" s="383">
        <f t="shared" si="7"/>
        <v>0.9659258262890683</v>
      </c>
      <c r="I36" s="307" t="s">
        <v>91</v>
      </c>
      <c r="J36" s="42">
        <f t="shared" si="6"/>
        <v>255</v>
      </c>
      <c r="K36" s="42">
        <f t="shared" si="5"/>
        <v>4.4505895925855405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">
      <c r="A37" s="42"/>
      <c r="B37" s="42"/>
      <c r="C37" s="42"/>
      <c r="D37" s="42"/>
      <c r="E37" s="42"/>
      <c r="F37" s="42"/>
      <c r="G37" s="308">
        <v>9</v>
      </c>
      <c r="H37" s="383">
        <f t="shared" si="7"/>
        <v>1</v>
      </c>
      <c r="I37" s="308" t="s">
        <v>91</v>
      </c>
      <c r="J37" s="42">
        <f t="shared" si="6"/>
        <v>270</v>
      </c>
      <c r="K37" s="42">
        <f t="shared" si="5"/>
        <v>4.71238898038469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">
      <c r="A38" s="42"/>
      <c r="B38" s="42"/>
      <c r="C38" s="42"/>
      <c r="D38" s="42"/>
      <c r="E38" s="42"/>
      <c r="F38" s="42"/>
      <c r="G38" s="308">
        <v>9.5</v>
      </c>
      <c r="H38" s="383">
        <f>-SIN(K38)</f>
        <v>0.9659258262890684</v>
      </c>
      <c r="I38" s="308" t="s">
        <v>91</v>
      </c>
      <c r="J38" s="42">
        <f t="shared" si="6"/>
        <v>285</v>
      </c>
      <c r="K38" s="42">
        <f t="shared" si="5"/>
        <v>4.974188368183839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">
      <c r="A39" s="42"/>
      <c r="B39" s="42"/>
      <c r="C39" s="42"/>
      <c r="D39" s="42"/>
      <c r="E39" s="42"/>
      <c r="F39" s="42"/>
      <c r="G39" s="307">
        <v>10</v>
      </c>
      <c r="H39" s="383">
        <f t="shared" si="7"/>
        <v>0.8660254037844386</v>
      </c>
      <c r="I39" s="307" t="s">
        <v>91</v>
      </c>
      <c r="J39" s="42">
        <f t="shared" si="6"/>
        <v>300</v>
      </c>
      <c r="K39" s="42">
        <f t="shared" si="5"/>
        <v>5.235987755982989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2">
      <c r="A40" s="42"/>
      <c r="B40" s="42"/>
      <c r="C40" s="42"/>
      <c r="D40" s="42"/>
      <c r="E40" s="42"/>
      <c r="F40" s="42"/>
      <c r="G40" s="307">
        <v>10.5</v>
      </c>
      <c r="H40" s="383">
        <f t="shared" si="7"/>
        <v>0.7071067811865477</v>
      </c>
      <c r="I40" s="307" t="s">
        <v>91</v>
      </c>
      <c r="J40" s="42">
        <f t="shared" si="6"/>
        <v>315</v>
      </c>
      <c r="K40" s="42">
        <f t="shared" si="5"/>
        <v>5.497787143782138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2">
      <c r="A41" s="42"/>
      <c r="B41" s="42"/>
      <c r="C41" s="42"/>
      <c r="D41" s="42"/>
      <c r="E41" s="42"/>
      <c r="F41" s="42"/>
      <c r="G41" s="308">
        <v>11</v>
      </c>
      <c r="H41" s="383">
        <f t="shared" si="7"/>
        <v>0.5000000000000004</v>
      </c>
      <c r="I41" s="308" t="s">
        <v>91</v>
      </c>
      <c r="J41" s="42">
        <f t="shared" si="6"/>
        <v>330</v>
      </c>
      <c r="K41" s="42">
        <f t="shared" si="5"/>
        <v>5.759586531581287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">
      <c r="A42" s="42"/>
      <c r="B42" s="42"/>
      <c r="C42" s="42"/>
      <c r="D42" s="42"/>
      <c r="E42" s="42"/>
      <c r="F42" s="42"/>
      <c r="G42" s="308">
        <v>11.5</v>
      </c>
      <c r="H42" s="383">
        <f t="shared" si="7"/>
        <v>0.2588190451025207</v>
      </c>
      <c r="I42" s="308" t="s">
        <v>91</v>
      </c>
      <c r="J42" s="42">
        <f t="shared" si="6"/>
        <v>345</v>
      </c>
      <c r="K42" s="42">
        <f t="shared" si="5"/>
        <v>6.021385919380437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">
      <c r="A43" s="42"/>
      <c r="B43" s="42"/>
      <c r="C43" s="42"/>
      <c r="D43" s="42"/>
      <c r="E43" s="42"/>
      <c r="F43" s="42"/>
      <c r="G43" s="307">
        <v>12</v>
      </c>
      <c r="H43" s="307">
        <v>0</v>
      </c>
      <c r="I43" s="307" t="s">
        <v>92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">
      <c r="A44" s="42"/>
      <c r="B44" s="42"/>
      <c r="C44" s="42"/>
      <c r="D44" s="42"/>
      <c r="E44" s="42"/>
      <c r="F44" s="42"/>
      <c r="G44" s="308">
        <v>0</v>
      </c>
      <c r="H44" s="308">
        <v>0</v>
      </c>
      <c r="I44" s="308" t="s">
        <v>93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">
      <c r="A65" s="42" t="s">
        <v>94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>
      <c r="A67" s="309" t="s">
        <v>20</v>
      </c>
      <c r="B67" s="310">
        <f>ABS(VLOOKUP('Cartridge Info'!B15,'Ballistics Table'!B4:E44,4))</f>
        <v>2.406567880379747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2"/>
      <c r="W67" s="42"/>
      <c r="X67" s="42"/>
      <c r="Y67" s="42"/>
      <c r="Z67" s="42"/>
    </row>
    <row r="68" spans="1:26" ht="12.75">
      <c r="A68" s="309" t="s">
        <v>21</v>
      </c>
      <c r="B68" s="310">
        <f>($B$67+'Cartridge Info'!$B$12)/('Cartridge Info'!$B$15/100)/1</f>
        <v>4.029414667501598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2"/>
      <c r="W68" s="42"/>
      <c r="X68" s="42"/>
      <c r="Y68" s="42"/>
      <c r="Z68" s="42"/>
    </row>
    <row r="69" spans="1:26" ht="12">
      <c r="A69" s="311" t="s">
        <v>0</v>
      </c>
      <c r="B69" s="44"/>
      <c r="C69" s="44"/>
      <c r="D69" s="311" t="s">
        <v>1</v>
      </c>
      <c r="E69" s="311" t="s">
        <v>2</v>
      </c>
      <c r="F69" s="311" t="s">
        <v>3</v>
      </c>
      <c r="G69" s="44"/>
      <c r="H69" s="44"/>
      <c r="I69" s="44"/>
      <c r="J69" s="311" t="s">
        <v>4</v>
      </c>
      <c r="K69" s="311"/>
      <c r="L69" s="44"/>
      <c r="M69" s="44"/>
      <c r="N69" s="44"/>
      <c r="O69" s="311" t="s">
        <v>5</v>
      </c>
      <c r="P69" s="311" t="s">
        <v>2</v>
      </c>
      <c r="Q69" s="311" t="s">
        <v>6</v>
      </c>
      <c r="R69" s="44"/>
      <c r="S69" s="44"/>
      <c r="T69" s="44"/>
      <c r="U69" s="44"/>
      <c r="V69" s="42"/>
      <c r="W69" s="42"/>
      <c r="X69" s="42"/>
      <c r="Y69" s="42"/>
      <c r="Z69" s="42"/>
    </row>
    <row r="70" spans="1:26" ht="12">
      <c r="A70" s="311" t="s">
        <v>7</v>
      </c>
      <c r="B70" s="311" t="s">
        <v>8</v>
      </c>
      <c r="C70" s="311" t="s">
        <v>9</v>
      </c>
      <c r="D70" s="311" t="s">
        <v>10</v>
      </c>
      <c r="E70" s="311" t="s">
        <v>11</v>
      </c>
      <c r="F70" s="311" t="s">
        <v>12</v>
      </c>
      <c r="G70" s="311" t="s">
        <v>13</v>
      </c>
      <c r="H70" s="311" t="s">
        <v>14</v>
      </c>
      <c r="I70" s="311" t="s">
        <v>15</v>
      </c>
      <c r="J70" s="311" t="s">
        <v>16</v>
      </c>
      <c r="K70" s="311"/>
      <c r="L70" s="311" t="s">
        <v>10</v>
      </c>
      <c r="M70" s="311" t="s">
        <v>11</v>
      </c>
      <c r="N70" s="311" t="s">
        <v>12</v>
      </c>
      <c r="O70" s="311" t="s">
        <v>13</v>
      </c>
      <c r="P70" s="311" t="s">
        <v>14</v>
      </c>
      <c r="Q70" s="311" t="s">
        <v>15</v>
      </c>
      <c r="R70" s="311" t="s">
        <v>17</v>
      </c>
      <c r="S70" s="311" t="s">
        <v>9</v>
      </c>
      <c r="T70" s="311" t="s">
        <v>18</v>
      </c>
      <c r="U70" s="311" t="s">
        <v>19</v>
      </c>
      <c r="V70" s="42"/>
      <c r="W70" s="42"/>
      <c r="X70" s="42"/>
      <c r="Y70" s="42"/>
      <c r="Z70" s="42"/>
    </row>
    <row r="71" spans="1:26" ht="12">
      <c r="A71" s="44">
        <v>43041</v>
      </c>
      <c r="B71" s="44">
        <f aca="true" t="shared" si="8" ref="B71:B92">1/A71</f>
        <v>2.323366092795242E-05</v>
      </c>
      <c r="C71" s="44">
        <v>350</v>
      </c>
      <c r="D71" s="44">
        <v>39663.2</v>
      </c>
      <c r="E71" s="44">
        <v>-63.768</v>
      </c>
      <c r="F71" s="44">
        <v>0.0758391</v>
      </c>
      <c r="G71" s="44">
        <v>49.669</v>
      </c>
      <c r="H71" s="44">
        <v>-0.1845</v>
      </c>
      <c r="I71" s="44">
        <v>0.000482396</v>
      </c>
      <c r="J71" s="44">
        <f>$F$97+3*'Ballistics Table'!B4/('Cartridge Info'!$B$7/$F$98)</f>
        <v>6680.53897736</v>
      </c>
      <c r="K71" s="44"/>
      <c r="L71" s="44">
        <f>VLOOKUP($S$71,$C$71:$I$92,2)</f>
        <v>5950.45</v>
      </c>
      <c r="M71" s="44">
        <f>VLOOKUP($S$71,$C$71:$I$92,3)</f>
        <v>-2.90704</v>
      </c>
      <c r="N71" s="44">
        <f>VLOOKUP($S$71,$C$71:$I$92,4)</f>
        <v>0.000348885</v>
      </c>
      <c r="O71" s="44">
        <f>VLOOKUP($S$71,$C$71:$I$92,5)</f>
        <v>1.36656</v>
      </c>
      <c r="P71" s="44">
        <f>VLOOKUP($S$71,$C$71:$I$92,6)</f>
        <v>-0.000897071</v>
      </c>
      <c r="Q71" s="44">
        <f>VLOOKUP($S$71,$C$71:$I$92,7)</f>
        <v>2.45908E-07</v>
      </c>
      <c r="R71" s="44">
        <f>O71+P71*('Ballistics Table'!C4-S71)+Q71*('Ballistics Table'!C4-S71)^2</f>
        <v>1.600085702688</v>
      </c>
      <c r="S71" s="44">
        <f>VLOOKUP(1.1*'Cartridge Info'!$B$5,$C$71:$I$92,1)</f>
        <v>3250</v>
      </c>
      <c r="T71" s="44">
        <f>('Cartridge Info'!$B$7/$F$98)*(R71-$F$96)</f>
        <v>0</v>
      </c>
      <c r="U71" s="44">
        <f>14.0069+6.59285*(('Ballistics Table'!C4/'Cartridge Info'!$B$5)-0.65)-1.94051*(('Ballistics Table'!C4/'Cartridge Info'!$B$5)-0.65)^2</f>
        <v>16.076685025</v>
      </c>
      <c r="V71" s="42"/>
      <c r="W71" s="42"/>
      <c r="X71" s="42"/>
      <c r="Y71" s="42"/>
      <c r="Z71" s="42"/>
    </row>
    <row r="72" spans="1:26" ht="12">
      <c r="A72" s="44">
        <v>36664.2</v>
      </c>
      <c r="B72" s="44">
        <f t="shared" si="8"/>
        <v>2.7274562106905374E-05</v>
      </c>
      <c r="C72" s="44">
        <v>450</v>
      </c>
      <c r="D72" s="44">
        <v>33958.1</v>
      </c>
      <c r="E72" s="44">
        <v>-51.756</v>
      </c>
      <c r="F72" s="44">
        <v>0.0473157</v>
      </c>
      <c r="G72" s="44">
        <v>35.269</v>
      </c>
      <c r="H72" s="44">
        <v>-0.115879</v>
      </c>
      <c r="I72" s="44">
        <v>0.000234824</v>
      </c>
      <c r="J72" s="44">
        <f>$F$97+3*'Ballistics Table'!B5/('Cartridge Info'!$B$7/$F$98)</f>
        <v>6943.00297736</v>
      </c>
      <c r="K72" s="44"/>
      <c r="L72" s="44">
        <f>VLOOKUP(1/J71,$B$71:$I$92,3)</f>
        <v>5950.45</v>
      </c>
      <c r="M72" s="44">
        <f>VLOOKUP(1/J71,$B$71:$I$92,4)</f>
        <v>-2.90704</v>
      </c>
      <c r="N72" s="44">
        <f>VLOOKUP(1/J71,$B$71:$I$92,5)</f>
        <v>0.000348885</v>
      </c>
      <c r="O72" s="44">
        <f>VLOOKUP(1/J71,$B$71:$I$92,6)</f>
        <v>1.36656</v>
      </c>
      <c r="P72" s="44">
        <f>VLOOKUP(1/J71,$B$71:$I$92,7)</f>
        <v>-0.000897071</v>
      </c>
      <c r="Q72" s="44">
        <f>VLOOKUP(1/J71,$B$71:$I$92,8)</f>
        <v>2.45908E-07</v>
      </c>
      <c r="R72" s="44">
        <f>O72+P72*('Ballistics Table'!C5-S72)+Q72*('Ballistics Table'!C5-S72)^2</f>
        <v>1.688313686828</v>
      </c>
      <c r="S72" s="44">
        <f>VLOOKUP(1/J71,$B$71:$I$92,2)</f>
        <v>3250</v>
      </c>
      <c r="T72" s="44">
        <f>('Cartridge Info'!$B$7/$F$98)*(R72-$F$96)</f>
        <v>0.0551424900875</v>
      </c>
      <c r="U72" s="44">
        <f>14.0069+6.59285*(('Ballistics Table'!C5/'Cartridge Info'!$B$5)-0.65)-1.94051*(('Ballistics Table'!C5/'Cartridge Info'!$B$5)-0.65)^2</f>
        <v>15.927118833455388</v>
      </c>
      <c r="V72" s="42"/>
      <c r="W72" s="42"/>
      <c r="X72" s="42"/>
      <c r="Y72" s="42"/>
      <c r="Z72" s="42"/>
    </row>
    <row r="73" spans="1:26" ht="12">
      <c r="A73" s="44">
        <v>31488.6</v>
      </c>
      <c r="B73" s="44">
        <f t="shared" si="8"/>
        <v>3.1757524945535846E-05</v>
      </c>
      <c r="C73" s="44">
        <v>550</v>
      </c>
      <c r="D73" s="44">
        <v>29218.7</v>
      </c>
      <c r="E73" s="44">
        <v>-43.64</v>
      </c>
      <c r="F73" s="44">
        <v>0.035161</v>
      </c>
      <c r="G73" s="44">
        <v>25.7322</v>
      </c>
      <c r="H73" s="44">
        <v>-0.079629</v>
      </c>
      <c r="I73" s="44">
        <v>0.000136695</v>
      </c>
      <c r="J73" s="44">
        <f>$F$97+3*'Ballistics Table'!B6/('Cartridge Info'!$B$7/$F$98)</f>
        <v>7205.46697736</v>
      </c>
      <c r="K73" s="44"/>
      <c r="L73" s="44">
        <f aca="true" t="shared" si="9" ref="L73:L112">VLOOKUP(1/J72,$B$71:$I$92,3)</f>
        <v>7492.73</v>
      </c>
      <c r="M73" s="44">
        <f aca="true" t="shared" si="10" ref="M73:M112">VLOOKUP(1/J72,$B$71:$I$92,4)</f>
        <v>-3.26733</v>
      </c>
      <c r="N73" s="44">
        <f aca="true" t="shared" si="11" ref="N73:N112">VLOOKUP(1/J72,$B$71:$I$92,5)</f>
        <v>0.000371407</v>
      </c>
      <c r="O73" s="44">
        <f aca="true" t="shared" si="12" ref="O73:O112">VLOOKUP(1/J72,$B$71:$I$92,6)</f>
        <v>1.88267</v>
      </c>
      <c r="P73" s="44">
        <f aca="true" t="shared" si="13" ref="P73:P112">VLOOKUP(1/J72,$B$71:$I$92,7)</f>
        <v>-0.0011924</v>
      </c>
      <c r="Q73" s="44">
        <f aca="true" t="shared" si="14" ref="Q73:Q112">VLOOKUP(1/J72,$B$71:$I$92,8)</f>
        <v>3.52828E-07</v>
      </c>
      <c r="R73" s="44">
        <f>O73+P73*('Ballistics Table'!C6-S73)+Q73*('Ballistics Table'!C6-S73)^2</f>
        <v>1.7804711000320002</v>
      </c>
      <c r="S73" s="44">
        <f aca="true" t="shared" si="15" ref="S73:S112">VLOOKUP(1/J72,$B$71:$I$92,2)</f>
        <v>2750</v>
      </c>
      <c r="T73" s="44">
        <f>('Cartridge Info'!$B$7/$F$98)*(R73-$F$96)</f>
        <v>0.11274087334000012</v>
      </c>
      <c r="U73" s="44">
        <f>14.0069+6.59285*(('Ballistics Table'!C6/'Cartridge Info'!$B$5)-0.65)-1.94051*(('Ballistics Table'!C6/'Cartridge Info'!$B$5)-0.65)^2</f>
        <v>15.778077339596356</v>
      </c>
      <c r="V73" s="42"/>
      <c r="W73" s="42"/>
      <c r="X73" s="42"/>
      <c r="Y73" s="42"/>
      <c r="Z73" s="42"/>
    </row>
    <row r="74" spans="1:26" ht="12">
      <c r="A74" s="44">
        <v>27124.6</v>
      </c>
      <c r="B74" s="44">
        <f t="shared" si="8"/>
        <v>3.686690310640526E-05</v>
      </c>
      <c r="C74" s="44">
        <v>650</v>
      </c>
      <c r="D74" s="44">
        <v>25192</v>
      </c>
      <c r="E74" s="44">
        <v>-37.095</v>
      </c>
      <c r="F74" s="44">
        <v>0.0311391</v>
      </c>
      <c r="G74" s="44">
        <v>18.9904</v>
      </c>
      <c r="H74" s="44">
        <v>-0.057305</v>
      </c>
      <c r="I74" s="44">
        <v>9.20586E-05</v>
      </c>
      <c r="J74" s="44">
        <f>$F$97+3*'Ballistics Table'!B7/('Cartridge Info'!$B$7/$F$98)</f>
        <v>7467.93097736</v>
      </c>
      <c r="K74" s="44"/>
      <c r="L74" s="44">
        <f t="shared" si="9"/>
        <v>7492.73</v>
      </c>
      <c r="M74" s="44">
        <f t="shared" si="10"/>
        <v>-3.26733</v>
      </c>
      <c r="N74" s="44">
        <f t="shared" si="11"/>
        <v>0.000371407</v>
      </c>
      <c r="O74" s="44">
        <f t="shared" si="12"/>
        <v>1.88267</v>
      </c>
      <c r="P74" s="44">
        <f t="shared" si="13"/>
        <v>-0.0011924</v>
      </c>
      <c r="Q74" s="44">
        <f t="shared" si="14"/>
        <v>3.52828E-07</v>
      </c>
      <c r="R74" s="44">
        <f>O74+P74*('Ballistics Table'!C7-S74)+Q74*('Ballistics Table'!C7-S74)^2</f>
        <v>1.874340488572</v>
      </c>
      <c r="S74" s="44">
        <f t="shared" si="15"/>
        <v>2750</v>
      </c>
      <c r="T74" s="44">
        <f>('Cartridge Info'!$B$7/$F$98)*(R74-$F$96)</f>
        <v>0.1714092411775001</v>
      </c>
      <c r="U74" s="44">
        <f>14.0069+6.59285*(('Ballistics Table'!C7/'Cartridge Info'!$B$5)-0.65)-1.94051*(('Ballistics Table'!C7/'Cartridge Info'!$B$5)-0.65)^2</f>
        <v>15.629774436767285</v>
      </c>
      <c r="V74" s="42"/>
      <c r="W74" s="42"/>
      <c r="X74" s="42"/>
      <c r="Y74" s="42"/>
      <c r="Z74" s="42"/>
    </row>
    <row r="75" spans="1:26" ht="12">
      <c r="A75" s="44">
        <v>23415.1</v>
      </c>
      <c r="B75" s="44">
        <f t="shared" si="8"/>
        <v>4.27074836323569E-05</v>
      </c>
      <c r="C75" s="44">
        <v>750</v>
      </c>
      <c r="D75" s="44">
        <v>21792</v>
      </c>
      <c r="E75" s="44">
        <v>-30.896</v>
      </c>
      <c r="F75" s="44">
        <v>0.0313196</v>
      </c>
      <c r="G75" s="44">
        <v>14.1144</v>
      </c>
      <c r="H75" s="44">
        <v>-0.041349</v>
      </c>
      <c r="I75" s="44">
        <v>6.9381E-05</v>
      </c>
      <c r="J75" s="44">
        <f>$F$97+3*'Ballistics Table'!B8/('Cartridge Info'!$B$7/$F$98)</f>
        <v>7730.39497736</v>
      </c>
      <c r="K75" s="44"/>
      <c r="L75" s="44">
        <f t="shared" si="9"/>
        <v>7492.73</v>
      </c>
      <c r="M75" s="44">
        <f t="shared" si="10"/>
        <v>-3.26733</v>
      </c>
      <c r="N75" s="44">
        <f t="shared" si="11"/>
        <v>0.000371407</v>
      </c>
      <c r="O75" s="44">
        <f t="shared" si="12"/>
        <v>1.88267</v>
      </c>
      <c r="P75" s="44">
        <f t="shared" si="13"/>
        <v>-0.0011924</v>
      </c>
      <c r="Q75" s="44">
        <f t="shared" si="14"/>
        <v>3.52828E-07</v>
      </c>
      <c r="R75" s="44">
        <f>O75+P75*('Ballistics Table'!C8-S75)+Q75*('Ballistics Table'!C8-S75)^2</f>
        <v>1.971595420412</v>
      </c>
      <c r="S75" s="44">
        <f t="shared" si="15"/>
        <v>2750</v>
      </c>
      <c r="T75" s="44">
        <f>('Cartridge Info'!$B$7/$F$98)*(R75-$F$96)</f>
        <v>0.2321935735775001</v>
      </c>
      <c r="U75" s="44">
        <f>14.0069+6.59285*(('Ballistics Table'!C8/'Cartridge Info'!$B$5)-0.65)-1.94051*(('Ballistics Table'!C8/'Cartridge Info'!$B$5)-0.65)^2</f>
        <v>15.480536423656224</v>
      </c>
      <c r="V75" s="42"/>
      <c r="W75" s="42"/>
      <c r="X75" s="42"/>
      <c r="Y75" s="42"/>
      <c r="Z75" s="42"/>
    </row>
    <row r="76" spans="1:26" ht="12">
      <c r="A76" s="44">
        <v>20325.5</v>
      </c>
      <c r="B76" s="44">
        <f t="shared" si="8"/>
        <v>4.9199281690487316E-05</v>
      </c>
      <c r="C76" s="44">
        <v>850</v>
      </c>
      <c r="D76" s="44">
        <v>19020.1</v>
      </c>
      <c r="E76" s="44">
        <v>-24.4588</v>
      </c>
      <c r="F76" s="44">
        <v>0.0330303</v>
      </c>
      <c r="G76" s="44">
        <v>10.6366</v>
      </c>
      <c r="H76" s="44">
        <v>-0.0288527</v>
      </c>
      <c r="I76" s="44">
        <v>5.58719E-05</v>
      </c>
      <c r="J76" s="44">
        <f>$F$97+3*'Ballistics Table'!B9/('Cartridge Info'!$B$7/$F$98)</f>
        <v>7992.85897736</v>
      </c>
      <c r="K76" s="44"/>
      <c r="L76" s="44">
        <f t="shared" si="9"/>
        <v>7492.73</v>
      </c>
      <c r="M76" s="44">
        <f t="shared" si="10"/>
        <v>-3.26733</v>
      </c>
      <c r="N76" s="44">
        <f t="shared" si="11"/>
        <v>0.000371407</v>
      </c>
      <c r="O76" s="44">
        <f t="shared" si="12"/>
        <v>1.88267</v>
      </c>
      <c r="P76" s="44">
        <f t="shared" si="13"/>
        <v>-0.0011924</v>
      </c>
      <c r="Q76" s="44">
        <f t="shared" si="14"/>
        <v>3.52828E-07</v>
      </c>
      <c r="R76" s="44">
        <f>O76+P76*('Ballistics Table'!C9-S76)+Q76*('Ballistics Table'!C9-S76)^2</f>
        <v>2.0707672312280003</v>
      </c>
      <c r="S76" s="44">
        <f t="shared" si="15"/>
        <v>2750</v>
      </c>
      <c r="T76" s="44">
        <f>('Cartridge Info'!$B$7/$F$98)*(R76-$F$96)</f>
        <v>0.29417595533750024</v>
      </c>
      <c r="U76" s="44">
        <f>14.0069+6.59285*(('Ballistics Table'!C9/'Cartridge Info'!$B$5)-0.65)-1.94051*(('Ballistics Table'!C9/'Cartridge Info'!$B$5)-0.65)^2</f>
        <v>15.33238275286474</v>
      </c>
      <c r="V76" s="42"/>
      <c r="W76" s="42"/>
      <c r="X76" s="42"/>
      <c r="Y76" s="42"/>
      <c r="Z76" s="42"/>
    </row>
    <row r="77" spans="1:26" ht="12">
      <c r="A77" s="44">
        <v>17879.9</v>
      </c>
      <c r="B77" s="44">
        <f t="shared" si="8"/>
        <v>5.592872443358184E-05</v>
      </c>
      <c r="C77" s="44">
        <v>950</v>
      </c>
      <c r="D77" s="44">
        <v>16906.5</v>
      </c>
      <c r="E77" s="44">
        <v>-17.8388</v>
      </c>
      <c r="F77" s="44">
        <v>0.0325134</v>
      </c>
      <c r="G77" s="44">
        <v>8.27886</v>
      </c>
      <c r="H77" s="44">
        <v>-0.01884</v>
      </c>
      <c r="I77" s="44">
        <v>4.41677E-05</v>
      </c>
      <c r="J77" s="44">
        <f>$F$97+3*'Ballistics Table'!B10/('Cartridge Info'!$B$7/$F$98)</f>
        <v>8255.32297736</v>
      </c>
      <c r="K77" s="44"/>
      <c r="L77" s="44">
        <f t="shared" si="9"/>
        <v>7492.73</v>
      </c>
      <c r="M77" s="44">
        <f t="shared" si="10"/>
        <v>-3.26733</v>
      </c>
      <c r="N77" s="44">
        <f t="shared" si="11"/>
        <v>0.000371407</v>
      </c>
      <c r="O77" s="44">
        <f t="shared" si="12"/>
        <v>1.88267</v>
      </c>
      <c r="P77" s="44">
        <f t="shared" si="13"/>
        <v>-0.0011924</v>
      </c>
      <c r="Q77" s="44">
        <f t="shared" si="14"/>
        <v>3.52828E-07</v>
      </c>
      <c r="R77" s="44">
        <f>O77+P77*('Ballistics Table'!C10-S77)+Q77*('Ballistics Table'!C10-S77)^2</f>
        <v>2.172878610752</v>
      </c>
      <c r="S77" s="44">
        <f t="shared" si="15"/>
        <v>2750</v>
      </c>
      <c r="T77" s="44">
        <f>('Cartridge Info'!$B$7/$F$98)*(R77-$F$96)</f>
        <v>0.35799556754000006</v>
      </c>
      <c r="U77" s="44">
        <f>14.0069+6.59285*(('Ballistics Table'!C10/'Cartridge Info'!$B$5)-0.65)-1.94051*(('Ballistics Table'!C10/'Cartridge Info'!$B$5)-0.65)^2</f>
        <v>15.18356541876647</v>
      </c>
      <c r="V77" s="42"/>
      <c r="W77" s="42"/>
      <c r="X77" s="42"/>
      <c r="Y77" s="42"/>
      <c r="Z77" s="42"/>
    </row>
    <row r="78" spans="1:26" ht="12">
      <c r="A78" s="44">
        <v>16095.6</v>
      </c>
      <c r="B78" s="44">
        <f t="shared" si="8"/>
        <v>6.212878053629563E-05</v>
      </c>
      <c r="C78" s="44">
        <v>1025</v>
      </c>
      <c r="D78" s="44">
        <v>15747.2</v>
      </c>
      <c r="E78" s="44">
        <v>-13.2423</v>
      </c>
      <c r="F78" s="44">
        <v>0.0276581</v>
      </c>
      <c r="G78" s="44">
        <v>7.10211</v>
      </c>
      <c r="H78" s="44">
        <v>-0.0129298</v>
      </c>
      <c r="I78" s="44">
        <v>3.32035E-05</v>
      </c>
      <c r="J78" s="44">
        <f>$F$97+3*'Ballistics Table'!B11/('Cartridge Info'!$B$7/$F$98)</f>
        <v>8517.78697736</v>
      </c>
      <c r="K78" s="44"/>
      <c r="L78" s="44">
        <f t="shared" si="9"/>
        <v>7492.73</v>
      </c>
      <c r="M78" s="44">
        <f t="shared" si="10"/>
        <v>-3.26733</v>
      </c>
      <c r="N78" s="44">
        <f t="shared" si="11"/>
        <v>0.000371407</v>
      </c>
      <c r="O78" s="44">
        <f t="shared" si="12"/>
        <v>1.88267</v>
      </c>
      <c r="P78" s="44">
        <f t="shared" si="13"/>
        <v>-0.0011924</v>
      </c>
      <c r="Q78" s="44">
        <f t="shared" si="14"/>
        <v>3.52828E-07</v>
      </c>
      <c r="R78" s="44">
        <f>O78+P78*('Ballistics Table'!C11-S78)+Q78*('Ballistics Table'!C11-S78)^2</f>
        <v>2.277766552448</v>
      </c>
      <c r="S78" s="44">
        <f t="shared" si="15"/>
        <v>2750</v>
      </c>
      <c r="T78" s="44">
        <f>('Cartridge Info'!$B$7/$F$98)*(R78-$F$96)</f>
        <v>0.42355053110000007</v>
      </c>
      <c r="U78" s="44">
        <f>14.0069+6.59285*(('Ballistics Table'!C11/'Cartridge Info'!$B$5)-0.65)-1.94051*(('Ballistics Table'!C11/'Cartridge Info'!$B$5)-0.65)^2</f>
        <v>15.034183636948868</v>
      </c>
      <c r="V78" s="42"/>
      <c r="W78" s="42"/>
      <c r="X78" s="42"/>
      <c r="Y78" s="42"/>
      <c r="Z78" s="42"/>
    </row>
    <row r="79" spans="1:26" ht="12">
      <c r="A79" s="44">
        <v>15433.3</v>
      </c>
      <c r="B79" s="44">
        <f t="shared" si="8"/>
        <v>6.479495636059689E-05</v>
      </c>
      <c r="C79" s="44">
        <v>1062.5</v>
      </c>
      <c r="D79" s="44">
        <v>15288.1</v>
      </c>
      <c r="E79" s="44">
        <v>-11.3183</v>
      </c>
      <c r="F79" s="44">
        <v>0.023346</v>
      </c>
      <c r="G79" s="44">
        <v>6.66207</v>
      </c>
      <c r="H79" s="44">
        <v>-0.0106524</v>
      </c>
      <c r="I79" s="44">
        <v>2.68757E-05</v>
      </c>
      <c r="J79" s="44">
        <f>$F$97+3*'Ballistics Table'!B12/('Cartridge Info'!$B$7/$F$98)</f>
        <v>8780.25097736</v>
      </c>
      <c r="K79" s="44"/>
      <c r="L79" s="44">
        <f t="shared" si="9"/>
        <v>9222.059</v>
      </c>
      <c r="M79" s="44">
        <f t="shared" si="10"/>
        <v>-3.66916</v>
      </c>
      <c r="N79" s="44">
        <f t="shared" si="11"/>
        <v>0.00045401</v>
      </c>
      <c r="O79" s="44">
        <f t="shared" si="12"/>
        <v>2.57801</v>
      </c>
      <c r="P79" s="44">
        <f t="shared" si="13"/>
        <v>-0.00163915</v>
      </c>
      <c r="Q79" s="44">
        <f t="shared" si="14"/>
        <v>5.68494E-07</v>
      </c>
      <c r="R79" s="44">
        <f>O79+P79*('Ballistics Table'!C12-S79)+Q79*('Ballistics Table'!C12-S79)^2</f>
        <v>2.386495164696</v>
      </c>
      <c r="S79" s="44">
        <f t="shared" si="15"/>
        <v>2250</v>
      </c>
      <c r="T79" s="44">
        <f>('Cartridge Info'!$B$7/$F$98)*(R79-$F$96)</f>
        <v>0.4915059137550001</v>
      </c>
      <c r="U79" s="44">
        <f>14.0069+6.59285*(('Ballistics Table'!C12/'Cartridge Info'!$B$5)-0.65)-1.94051*(('Ballistics Table'!C12/'Cartridge Info'!$B$5)-0.65)^2</f>
        <v>14.886349203525628</v>
      </c>
      <c r="V79" s="42"/>
      <c r="W79" s="42"/>
      <c r="X79" s="42"/>
      <c r="Y79" s="42"/>
      <c r="Z79" s="42"/>
    </row>
    <row r="80" spans="1:26" ht="12">
      <c r="A80" s="44">
        <v>15150.3</v>
      </c>
      <c r="B80" s="44">
        <f t="shared" si="8"/>
        <v>6.60052936245487E-05</v>
      </c>
      <c r="C80" s="44">
        <v>1087.5</v>
      </c>
      <c r="D80" s="44">
        <v>15019.2</v>
      </c>
      <c r="E80" s="44">
        <v>-10.2383</v>
      </c>
      <c r="F80" s="44">
        <v>0.0199585</v>
      </c>
      <c r="G80" s="44">
        <v>6.41183</v>
      </c>
      <c r="H80" s="44">
        <v>-0.00941688</v>
      </c>
      <c r="I80" s="44">
        <v>2.2611E-05</v>
      </c>
      <c r="J80" s="44">
        <f>$F$97+3*'Ballistics Table'!B13/('Cartridge Info'!$B$7/$F$98)</f>
        <v>9042.71497736</v>
      </c>
      <c r="K80" s="44"/>
      <c r="L80" s="44">
        <f t="shared" si="9"/>
        <v>9222.059</v>
      </c>
      <c r="M80" s="44">
        <f t="shared" si="10"/>
        <v>-3.66916</v>
      </c>
      <c r="N80" s="44">
        <f t="shared" si="11"/>
        <v>0.00045401</v>
      </c>
      <c r="O80" s="44">
        <f t="shared" si="12"/>
        <v>2.57801</v>
      </c>
      <c r="P80" s="44">
        <f t="shared" si="13"/>
        <v>-0.00163915</v>
      </c>
      <c r="Q80" s="44">
        <f t="shared" si="14"/>
        <v>5.68494E-07</v>
      </c>
      <c r="R80" s="44">
        <f>O80+P80*('Ballistics Table'!C13-S80)+Q80*('Ballistics Table'!C13-S80)^2</f>
        <v>2.4990566040939997</v>
      </c>
      <c r="S80" s="44">
        <f t="shared" si="15"/>
        <v>2250</v>
      </c>
      <c r="T80" s="44">
        <f>('Cartridge Info'!$B$7/$F$98)*(R80-$F$96)</f>
        <v>0.5618568133787499</v>
      </c>
      <c r="U80" s="44">
        <f>14.0069+6.59285*(('Ballistics Table'!C13/'Cartridge Info'!$B$5)-0.65)-1.94051*(('Ballistics Table'!C13/'Cartridge Info'!$B$5)-0.65)^2</f>
        <v>14.738208025207614</v>
      </c>
      <c r="V80" s="42"/>
      <c r="W80" s="42"/>
      <c r="X80" s="42"/>
      <c r="Y80" s="42"/>
      <c r="Z80" s="42"/>
    </row>
    <row r="81" spans="1:26" ht="12">
      <c r="A81" s="44">
        <v>14894.3</v>
      </c>
      <c r="B81" s="44">
        <f t="shared" si="8"/>
        <v>6.713977830445204E-05</v>
      </c>
      <c r="C81" s="44">
        <v>1105</v>
      </c>
      <c r="D81" s="44">
        <v>14846</v>
      </c>
      <c r="E81" s="44">
        <v>-9.58136</v>
      </c>
      <c r="F81" s="44">
        <v>0.0164795</v>
      </c>
      <c r="G81" s="44">
        <v>6.25378</v>
      </c>
      <c r="H81" s="44">
        <v>-0.00866849</v>
      </c>
      <c r="I81" s="44">
        <v>2.0396E-05</v>
      </c>
      <c r="J81" s="44">
        <f>$F$97+3*'Ballistics Table'!B14/('Cartridge Info'!$B$7/$F$98)</f>
        <v>9305.17897736</v>
      </c>
      <c r="K81" s="44"/>
      <c r="L81" s="44">
        <f t="shared" si="9"/>
        <v>9222.059</v>
      </c>
      <c r="M81" s="44">
        <f t="shared" si="10"/>
        <v>-3.66916</v>
      </c>
      <c r="N81" s="44">
        <f t="shared" si="11"/>
        <v>0.00045401</v>
      </c>
      <c r="O81" s="44">
        <f t="shared" si="12"/>
        <v>2.57801</v>
      </c>
      <c r="P81" s="44">
        <f t="shared" si="13"/>
        <v>-0.00163915</v>
      </c>
      <c r="Q81" s="44">
        <f t="shared" si="14"/>
        <v>5.68494E-07</v>
      </c>
      <c r="R81" s="44">
        <f>O81+P81*('Ballistics Table'!C14-S81)+Q81*('Ballistics Table'!C14-S81)^2</f>
        <v>2.616011183326</v>
      </c>
      <c r="S81" s="44">
        <f t="shared" si="15"/>
        <v>2250</v>
      </c>
      <c r="T81" s="44">
        <f>('Cartridge Info'!$B$7/$F$98)*(R81-$F$96)</f>
        <v>0.6349534253987501</v>
      </c>
      <c r="U81" s="44">
        <f>14.0069+6.59285*(('Ballistics Table'!C14/'Cartridge Info'!$B$5)-0.65)-1.94051*(('Ballistics Table'!C14/'Cartridge Info'!$B$5)-0.65)^2</f>
        <v>14.589854163525786</v>
      </c>
      <c r="V81" s="42"/>
      <c r="W81" s="42"/>
      <c r="X81" s="42"/>
      <c r="Y81" s="42"/>
      <c r="Z81" s="42"/>
    </row>
    <row r="82" spans="1:26" ht="12">
      <c r="A82" s="44">
        <v>14798.5</v>
      </c>
      <c r="B82" s="44">
        <f t="shared" si="8"/>
        <v>6.757441632597898E-05</v>
      </c>
      <c r="C82" s="44">
        <v>1115</v>
      </c>
      <c r="D82" s="44">
        <v>14751.9</v>
      </c>
      <c r="E82" s="44">
        <v>-9.231361</v>
      </c>
      <c r="F82" s="44">
        <v>0.0165939</v>
      </c>
      <c r="G82" s="44">
        <v>6.16907</v>
      </c>
      <c r="H82" s="44">
        <v>-0.00828369</v>
      </c>
      <c r="I82" s="44">
        <v>1.83284E-05</v>
      </c>
      <c r="J82" s="44">
        <f>$F$97+3*'Ballistics Table'!B15/('Cartridge Info'!$B$7/$F$98)</f>
        <v>9567.64297736</v>
      </c>
      <c r="K82" s="44"/>
      <c r="L82" s="44">
        <f t="shared" si="9"/>
        <v>9222.059</v>
      </c>
      <c r="M82" s="44">
        <f t="shared" si="10"/>
        <v>-3.66916</v>
      </c>
      <c r="N82" s="44">
        <f t="shared" si="11"/>
        <v>0.00045401</v>
      </c>
      <c r="O82" s="44">
        <f t="shared" si="12"/>
        <v>2.57801</v>
      </c>
      <c r="P82" s="44">
        <f t="shared" si="13"/>
        <v>-0.00163915</v>
      </c>
      <c r="Q82" s="44">
        <f t="shared" si="14"/>
        <v>5.68494E-07</v>
      </c>
      <c r="R82" s="44">
        <f>O82+P82*('Ballistics Table'!C15-S82)+Q82*('Ballistics Table'!C15-S82)^2</f>
        <v>2.737113312984</v>
      </c>
      <c r="S82" s="44">
        <f t="shared" si="15"/>
        <v>2250</v>
      </c>
      <c r="T82" s="44">
        <f>('Cartridge Info'!$B$7/$F$98)*(R82-$F$96)</f>
        <v>0.7106422564350001</v>
      </c>
      <c r="U82" s="44">
        <f>14.0069+6.59285*(('Ballistics Table'!C15/'Cartridge Info'!$B$5)-0.65)-1.94051*(('Ballistics Table'!C15/'Cartridge Info'!$B$5)-0.65)^2</f>
        <v>14.44138039149699</v>
      </c>
      <c r="V82" s="42"/>
      <c r="W82" s="42"/>
      <c r="X82" s="42"/>
      <c r="Y82" s="42"/>
      <c r="Z82" s="42"/>
    </row>
    <row r="83" spans="1:26" ht="12">
      <c r="A83" s="44">
        <v>14706.2</v>
      </c>
      <c r="B83" s="44">
        <f t="shared" si="8"/>
        <v>6.799853123172539E-05</v>
      </c>
      <c r="C83" s="44">
        <v>1125</v>
      </c>
      <c r="D83" s="44">
        <v>14661.2</v>
      </c>
      <c r="E83" s="44">
        <v>-8.930021</v>
      </c>
      <c r="F83" s="44">
        <v>0.0147629</v>
      </c>
      <c r="G83" s="44">
        <v>6.08802</v>
      </c>
      <c r="H83" s="44">
        <v>-0.00793184</v>
      </c>
      <c r="I83" s="44">
        <v>1.70991E-05</v>
      </c>
      <c r="J83" s="44">
        <f>$F$97+3*'Ballistics Table'!B16/('Cartridge Info'!$B$7/$F$98)</f>
        <v>9830.10697736</v>
      </c>
      <c r="K83" s="44"/>
      <c r="L83" s="44">
        <f t="shared" si="9"/>
        <v>9222.059</v>
      </c>
      <c r="M83" s="44">
        <f t="shared" si="10"/>
        <v>-3.66916</v>
      </c>
      <c r="N83" s="44">
        <f t="shared" si="11"/>
        <v>0.00045401</v>
      </c>
      <c r="O83" s="44">
        <f t="shared" si="12"/>
        <v>2.57801</v>
      </c>
      <c r="P83" s="44">
        <f t="shared" si="13"/>
        <v>-0.00163915</v>
      </c>
      <c r="Q83" s="44">
        <f t="shared" si="14"/>
        <v>5.68494E-07</v>
      </c>
      <c r="R83" s="44">
        <f>O83+P83*('Ballistics Table'!C16-S83)+Q83*('Ballistics Table'!C16-S83)^2</f>
        <v>2.860295767086</v>
      </c>
      <c r="S83" s="44">
        <f t="shared" si="15"/>
        <v>2250</v>
      </c>
      <c r="T83" s="44">
        <f>('Cartridge Info'!$B$7/$F$98)*(R83-$F$96)</f>
        <v>0.7876312902487501</v>
      </c>
      <c r="U83" s="44">
        <f>14.0069+6.59285*(('Ballistics Table'!C16/'Cartridge Info'!$B$5)-0.65)-1.94051*(('Ballistics Table'!C16/'Cartridge Info'!$B$5)-0.65)^2</f>
        <v>14.295014471505967</v>
      </c>
      <c r="V83" s="42"/>
      <c r="W83" s="42"/>
      <c r="X83" s="42"/>
      <c r="Y83" s="42"/>
      <c r="Z83" s="42"/>
    </row>
    <row r="84" spans="1:26" ht="12">
      <c r="A84" s="44">
        <v>14616.9</v>
      </c>
      <c r="B84" s="44">
        <f t="shared" si="8"/>
        <v>6.841395918423196E-05</v>
      </c>
      <c r="C84" s="44">
        <v>1140</v>
      </c>
      <c r="D84" s="44">
        <v>14530.6</v>
      </c>
      <c r="E84" s="44">
        <v>-8.482001</v>
      </c>
      <c r="F84" s="44">
        <v>0.0116909</v>
      </c>
      <c r="G84" s="44">
        <v>5.97274</v>
      </c>
      <c r="H84" s="44">
        <v>-0.00745342</v>
      </c>
      <c r="I84" s="44">
        <v>1.50953E-05</v>
      </c>
      <c r="J84" s="44">
        <f>$F$97+3*'Ballistics Table'!B17/('Cartridge Info'!$B$7/$F$98)</f>
        <v>10092.57097736</v>
      </c>
      <c r="K84" s="44"/>
      <c r="L84" s="44">
        <f t="shared" si="9"/>
        <v>9222.059</v>
      </c>
      <c r="M84" s="44">
        <f t="shared" si="10"/>
        <v>-3.66916</v>
      </c>
      <c r="N84" s="44">
        <f t="shared" si="11"/>
        <v>0.00045401</v>
      </c>
      <c r="O84" s="44">
        <f t="shared" si="12"/>
        <v>2.57801</v>
      </c>
      <c r="P84" s="44">
        <f t="shared" si="13"/>
        <v>-0.00163915</v>
      </c>
      <c r="Q84" s="44">
        <f t="shared" si="14"/>
        <v>5.68494E-07</v>
      </c>
      <c r="R84" s="44">
        <f>O84+P84*('Ballistics Table'!C17-S84)+Q84*('Ballistics Table'!C17-S84)^2</f>
        <v>2.9869890583339997</v>
      </c>
      <c r="S84" s="44">
        <f t="shared" si="15"/>
        <v>2250</v>
      </c>
      <c r="T84" s="44">
        <f>('Cartridge Info'!$B$7/$F$98)*(R84-$F$96)</f>
        <v>0.86681459727875</v>
      </c>
      <c r="U84" s="44">
        <f>14.0069+6.59285*(('Ballistics Table'!C17/'Cartridge Info'!$B$5)-0.65)-1.94051*(('Ballistics Table'!C17/'Cartridge Info'!$B$5)-0.65)^2</f>
        <v>14.148769163804229</v>
      </c>
      <c r="V84" s="42"/>
      <c r="W84" s="42"/>
      <c r="X84" s="42"/>
      <c r="Y84" s="42"/>
      <c r="Z84" s="42"/>
    </row>
    <row r="85" spans="1:26" ht="12">
      <c r="A85" s="44">
        <v>14447.1</v>
      </c>
      <c r="B85" s="44">
        <f t="shared" si="8"/>
        <v>6.921804375964726E-05</v>
      </c>
      <c r="C85" s="44">
        <v>1200</v>
      </c>
      <c r="D85" s="44">
        <v>14062.5</v>
      </c>
      <c r="E85" s="44">
        <v>-7.2568</v>
      </c>
      <c r="F85" s="44">
        <v>0.00850001</v>
      </c>
      <c r="G85" s="44">
        <v>5.57228</v>
      </c>
      <c r="H85" s="44">
        <v>-0.006058</v>
      </c>
      <c r="I85" s="44">
        <v>9.6174E-06</v>
      </c>
      <c r="J85" s="44">
        <f>$F$97+3*'Ballistics Table'!B18/('Cartridge Info'!$B$7/$F$98)</f>
        <v>10355.03497736</v>
      </c>
      <c r="K85" s="44"/>
      <c r="L85" s="44">
        <f t="shared" si="9"/>
        <v>9222.059</v>
      </c>
      <c r="M85" s="44">
        <f t="shared" si="10"/>
        <v>-3.66916</v>
      </c>
      <c r="N85" s="44">
        <f t="shared" si="11"/>
        <v>0.00045401</v>
      </c>
      <c r="O85" s="44">
        <f t="shared" si="12"/>
        <v>2.57801</v>
      </c>
      <c r="P85" s="44">
        <f t="shared" si="13"/>
        <v>-0.00163915</v>
      </c>
      <c r="Q85" s="44">
        <f t="shared" si="14"/>
        <v>5.68494E-07</v>
      </c>
      <c r="R85" s="44">
        <f>O85+P85*('Ballistics Table'!C18-S85)+Q85*('Ballistics Table'!C18-S85)^2</f>
        <v>3.116961241176</v>
      </c>
      <c r="S85" s="44">
        <f t="shared" si="15"/>
        <v>2250</v>
      </c>
      <c r="T85" s="44">
        <f>('Cartridge Info'!$B$7/$F$98)*(R85-$F$96)</f>
        <v>0.9480472115550002</v>
      </c>
      <c r="U85" s="44">
        <f>14.0069+6.59285*(('Ballistics Table'!C18/'Cartridge Info'!$B$5)-0.65)-1.94051*(('Ballistics Table'!C18/'Cartridge Info'!$B$5)-0.65)^2</f>
        <v>14.002732087352118</v>
      </c>
      <c r="V85" s="42"/>
      <c r="W85" s="42"/>
      <c r="X85" s="42"/>
      <c r="Y85" s="42"/>
      <c r="Z85" s="42"/>
    </row>
    <row r="86" spans="1:26" ht="12">
      <c r="A86" s="44">
        <v>13720.5</v>
      </c>
      <c r="B86" s="44">
        <f t="shared" si="8"/>
        <v>7.288364126671769E-05</v>
      </c>
      <c r="C86" s="44">
        <v>1375</v>
      </c>
      <c r="D86" s="44">
        <v>12977.5</v>
      </c>
      <c r="E86" s="44">
        <v>-5.5464</v>
      </c>
      <c r="F86" s="44">
        <v>0.00306207</v>
      </c>
      <c r="G86" s="44">
        <v>4.72557</v>
      </c>
      <c r="H86" s="44">
        <v>-0.00405656</v>
      </c>
      <c r="I86" s="44">
        <v>3.72586E-06</v>
      </c>
      <c r="J86" s="44">
        <f>$F$97+3*'Ballistics Table'!B19/('Cartridge Info'!$B$7/$F$98)</f>
        <v>10617.498977359997</v>
      </c>
      <c r="K86" s="44"/>
      <c r="L86" s="44">
        <f t="shared" si="9"/>
        <v>11189.1</v>
      </c>
      <c r="M86" s="44">
        <f t="shared" si="10"/>
        <v>-4.31589</v>
      </c>
      <c r="N86" s="44">
        <f t="shared" si="11"/>
        <v>0.000960342</v>
      </c>
      <c r="O86" s="44">
        <f t="shared" si="12"/>
        <v>3.56969</v>
      </c>
      <c r="P86" s="44">
        <f t="shared" si="13"/>
        <v>-0.00249074</v>
      </c>
      <c r="Q86" s="44">
        <f t="shared" si="14"/>
        <v>1.27366E-06</v>
      </c>
      <c r="R86" s="44">
        <f>O86+P86*('Ballistics Table'!C19-S86)+Q86*('Ballistics Table'!C19-S86)^2</f>
        <v>3.25450697536</v>
      </c>
      <c r="S86" s="44">
        <f t="shared" si="15"/>
        <v>1750</v>
      </c>
      <c r="T86" s="44">
        <f>('Cartridge Info'!$B$7/$F$98)*(R86-$F$96)</f>
        <v>1.03401329542</v>
      </c>
      <c r="U86" s="44">
        <f>14.0069+6.59285*(('Ballistics Table'!C19/'Cartridge Info'!$B$5)-0.65)-1.94051*(('Ballistics Table'!C19/'Cartridge Info'!$B$5)-0.65)^2</f>
        <v>13.856989572595872</v>
      </c>
      <c r="V86" s="42"/>
      <c r="W86" s="42"/>
      <c r="X86" s="42"/>
      <c r="Y86" s="42"/>
      <c r="Z86" s="42"/>
    </row>
    <row r="87" spans="1:26" ht="12">
      <c r="A87" s="44">
        <v>12330.3</v>
      </c>
      <c r="B87" s="44">
        <f t="shared" si="8"/>
        <v>8.110102755001906E-05</v>
      </c>
      <c r="C87" s="44">
        <v>1750</v>
      </c>
      <c r="D87" s="44">
        <v>11189.1</v>
      </c>
      <c r="E87" s="44">
        <v>-4.31589</v>
      </c>
      <c r="F87" s="44">
        <v>0.000960342</v>
      </c>
      <c r="G87" s="44">
        <v>3.56969</v>
      </c>
      <c r="H87" s="44">
        <v>-0.00249074</v>
      </c>
      <c r="I87" s="44">
        <v>1.27366E-06</v>
      </c>
      <c r="J87" s="44">
        <f>$F$97+3*'Ballistics Table'!B20/('Cartridge Info'!$B$7/$F$98)</f>
        <v>10879.962977359997</v>
      </c>
      <c r="K87" s="44"/>
      <c r="L87" s="44">
        <f t="shared" si="9"/>
        <v>11189.1</v>
      </c>
      <c r="M87" s="44">
        <f t="shared" si="10"/>
        <v>-4.31589</v>
      </c>
      <c r="N87" s="44">
        <f t="shared" si="11"/>
        <v>0.000960342</v>
      </c>
      <c r="O87" s="44">
        <f t="shared" si="12"/>
        <v>3.56969</v>
      </c>
      <c r="P87" s="44">
        <f t="shared" si="13"/>
        <v>-0.00249074</v>
      </c>
      <c r="Q87" s="44">
        <f t="shared" si="14"/>
        <v>1.27366E-06</v>
      </c>
      <c r="R87" s="44">
        <f>O87+P87*('Ballistics Table'!C20-S87)+Q87*('Ballistics Table'!C20-S87)^2</f>
        <v>3.39695937344</v>
      </c>
      <c r="S87" s="44">
        <f t="shared" si="15"/>
        <v>1750</v>
      </c>
      <c r="T87" s="44">
        <f>('Cartridge Info'!$B$7/$F$98)*(R87-$F$96)</f>
        <v>1.1230460442200003</v>
      </c>
      <c r="U87" s="44">
        <f>14.0069+6.59285*(('Ballistics Table'!C20/'Cartridge Info'!$B$5)-0.65)-1.94051*(('Ballistics Table'!C20/'Cartridge Info'!$B$5)-0.65)^2</f>
        <v>13.713876758097124</v>
      </c>
      <c r="V87" s="42"/>
      <c r="W87" s="42"/>
      <c r="X87" s="42"/>
      <c r="Y87" s="42"/>
      <c r="Z87" s="42"/>
    </row>
    <row r="88" spans="1:26" ht="12">
      <c r="A88" s="44">
        <v>10168.1</v>
      </c>
      <c r="B88" s="44">
        <f t="shared" si="8"/>
        <v>9.834679045249358E-05</v>
      </c>
      <c r="C88" s="44">
        <v>2250</v>
      </c>
      <c r="D88" s="44">
        <v>9222.059</v>
      </c>
      <c r="E88" s="44">
        <v>-3.66916</v>
      </c>
      <c r="F88" s="44">
        <v>0.00045401</v>
      </c>
      <c r="G88" s="44">
        <v>2.57801</v>
      </c>
      <c r="H88" s="44">
        <v>-0.00163915</v>
      </c>
      <c r="I88" s="44">
        <v>5.68494E-07</v>
      </c>
      <c r="J88" s="44">
        <f>$F$97+3*'Ballistics Table'!B21/('Cartridge Info'!$B$7/$F$98)</f>
        <v>11142.426977359997</v>
      </c>
      <c r="K88" s="42"/>
      <c r="L88" s="44">
        <f t="shared" si="9"/>
        <v>11189.1</v>
      </c>
      <c r="M88" s="44">
        <f t="shared" si="10"/>
        <v>-4.31589</v>
      </c>
      <c r="N88" s="44">
        <f t="shared" si="11"/>
        <v>0.000960342</v>
      </c>
      <c r="O88" s="44">
        <f t="shared" si="12"/>
        <v>3.56969</v>
      </c>
      <c r="P88" s="44">
        <f t="shared" si="13"/>
        <v>-0.00249074</v>
      </c>
      <c r="Q88" s="44">
        <f t="shared" si="14"/>
        <v>1.27366E-06</v>
      </c>
      <c r="R88" s="44">
        <f>O88+P88*('Ballistics Table'!C21-S88)+Q88*('Ballistics Table'!C21-S88)^2</f>
        <v>3.544909966</v>
      </c>
      <c r="S88" s="44">
        <f t="shared" si="15"/>
        <v>1750</v>
      </c>
      <c r="T88" s="44">
        <f>('Cartridge Info'!$B$7/$F$98)*(R88-$F$96)</f>
        <v>1.2155151645700002</v>
      </c>
      <c r="U88" s="44">
        <f>14.0069+6.59285*(('Ballistics Table'!C21/'Cartridge Info'!$B$5)-0.65)-1.94051*(('Ballistics Table'!C21/'Cartridge Info'!$B$5)-0.65)^2</f>
        <v>13.573558573663595</v>
      </c>
      <c r="V88" s="42"/>
      <c r="W88" s="42"/>
      <c r="X88" s="42"/>
      <c r="Y88" s="42"/>
      <c r="Z88" s="42"/>
    </row>
    <row r="89" spans="1:26" ht="12">
      <c r="A89" s="44">
        <v>8332.83</v>
      </c>
      <c r="B89" s="44">
        <f t="shared" si="8"/>
        <v>0.00012000724843780564</v>
      </c>
      <c r="C89" s="44">
        <v>2750</v>
      </c>
      <c r="D89" s="44">
        <v>7492.73</v>
      </c>
      <c r="E89" s="44">
        <v>-3.26733</v>
      </c>
      <c r="F89" s="44">
        <v>0.000371407</v>
      </c>
      <c r="G89" s="44">
        <v>1.88267</v>
      </c>
      <c r="H89" s="44">
        <v>-0.0011924</v>
      </c>
      <c r="I89" s="44">
        <v>3.52828E-07</v>
      </c>
      <c r="J89" s="44">
        <f>$F$97+3*'Ballistics Table'!B22/('Cartridge Info'!$B$7/$F$98)</f>
        <v>11404.890977359995</v>
      </c>
      <c r="K89" s="42"/>
      <c r="L89" s="44">
        <f t="shared" si="9"/>
        <v>11189.1</v>
      </c>
      <c r="M89" s="44">
        <f t="shared" si="10"/>
        <v>-4.31589</v>
      </c>
      <c r="N89" s="44">
        <f t="shared" si="11"/>
        <v>0.000960342</v>
      </c>
      <c r="O89" s="44">
        <f t="shared" si="12"/>
        <v>3.56969</v>
      </c>
      <c r="P89" s="44">
        <f t="shared" si="13"/>
        <v>-0.00249074</v>
      </c>
      <c r="Q89" s="44">
        <f t="shared" si="14"/>
        <v>1.27366E-06</v>
      </c>
      <c r="R89" s="44">
        <f>O89+P89*('Ballistics Table'!C22-S89)+Q89*('Ballistics Table'!C22-S89)^2</f>
        <v>3.69741115</v>
      </c>
      <c r="S89" s="44">
        <f t="shared" si="15"/>
        <v>1750</v>
      </c>
      <c r="T89" s="44">
        <f>('Cartridge Info'!$B$7/$F$98)*(R89-$F$96)</f>
        <v>1.3108284045700005</v>
      </c>
      <c r="U89" s="44">
        <f>14.0069+6.59285*(('Ballistics Table'!C22/'Cartridge Info'!$B$5)-0.65)-1.94051*(('Ballistics Table'!C22/'Cartridge Info'!$B$5)-0.65)^2</f>
        <v>13.43619479504651</v>
      </c>
      <c r="V89" s="42"/>
      <c r="W89" s="42"/>
      <c r="X89" s="42"/>
      <c r="Y89" s="42"/>
      <c r="Z89" s="42"/>
    </row>
    <row r="90" spans="1:26" ht="12">
      <c r="A90" s="44">
        <v>6699.05</v>
      </c>
      <c r="B90" s="44">
        <f t="shared" si="8"/>
        <v>0.00014927489718691454</v>
      </c>
      <c r="C90" s="44">
        <v>3250</v>
      </c>
      <c r="D90" s="44">
        <v>5950.45</v>
      </c>
      <c r="E90" s="44">
        <v>-2.90704</v>
      </c>
      <c r="F90" s="44">
        <v>0.000348885</v>
      </c>
      <c r="G90" s="44">
        <v>1.36656</v>
      </c>
      <c r="H90" s="44">
        <v>-0.000897071</v>
      </c>
      <c r="I90" s="44">
        <v>2.45908E-07</v>
      </c>
      <c r="J90" s="44">
        <f>$F$97+3*'Ballistics Table'!B23/('Cartridge Info'!$B$7/$F$98)</f>
        <v>11667.354977359997</v>
      </c>
      <c r="K90" s="42"/>
      <c r="L90" s="44">
        <f t="shared" si="9"/>
        <v>11189.1</v>
      </c>
      <c r="M90" s="44">
        <f t="shared" si="10"/>
        <v>-4.31589</v>
      </c>
      <c r="N90" s="44">
        <f t="shared" si="11"/>
        <v>0.000960342</v>
      </c>
      <c r="O90" s="44">
        <f t="shared" si="12"/>
        <v>3.56969</v>
      </c>
      <c r="P90" s="44">
        <f t="shared" si="13"/>
        <v>-0.00249074</v>
      </c>
      <c r="Q90" s="44">
        <f t="shared" si="14"/>
        <v>1.27366E-06</v>
      </c>
      <c r="R90" s="44">
        <f>O90+P90*('Ballistics Table'!C23-S90)+Q90*('Ballistics Table'!C23-S90)^2</f>
        <v>3.85631301446</v>
      </c>
      <c r="S90" s="44">
        <f t="shared" si="15"/>
        <v>1750</v>
      </c>
      <c r="T90" s="44">
        <f>('Cartridge Info'!$B$7/$F$98)*(R90-$F$96)</f>
        <v>1.4101420698575005</v>
      </c>
      <c r="U90" s="44">
        <f>14.0069+6.59285*(('Ballistics Table'!C23/'Cartridge Info'!$B$5)-0.65)-1.94051*(('Ballistics Table'!C23/'Cartridge Info'!$B$5)-0.65)^2</f>
        <v>13.299612636463698</v>
      </c>
      <c r="V90" s="42"/>
      <c r="W90" s="42"/>
      <c r="X90" s="42"/>
      <c r="Y90" s="42"/>
      <c r="Z90" s="42"/>
    </row>
    <row r="91" spans="1:26" ht="12">
      <c r="A91" s="44">
        <v>5245.45</v>
      </c>
      <c r="B91" s="44">
        <f t="shared" si="8"/>
        <v>0.00019064141303415342</v>
      </c>
      <c r="C91" s="44">
        <v>3750</v>
      </c>
      <c r="D91" s="44">
        <v>4582.38</v>
      </c>
      <c r="E91" s="44">
        <v>-2.57414</v>
      </c>
      <c r="F91" s="44">
        <v>0.000310524</v>
      </c>
      <c r="G91" s="44">
        <v>0.974457</v>
      </c>
      <c r="H91" s="44">
        <v>-0.0006880031</v>
      </c>
      <c r="I91" s="44">
        <v>1.74925E-07</v>
      </c>
      <c r="J91" s="44">
        <f>$F$97+3*'Ballistics Table'!B24/('Cartridge Info'!$B$7/$F$98)</f>
        <v>11929.818977359999</v>
      </c>
      <c r="K91" s="42"/>
      <c r="L91" s="44">
        <f t="shared" si="9"/>
        <v>11189.1</v>
      </c>
      <c r="M91" s="44">
        <f t="shared" si="10"/>
        <v>-4.31589</v>
      </c>
      <c r="N91" s="44">
        <f t="shared" si="11"/>
        <v>0.000960342</v>
      </c>
      <c r="O91" s="44">
        <f t="shared" si="12"/>
        <v>3.56969</v>
      </c>
      <c r="P91" s="44">
        <f t="shared" si="13"/>
        <v>-0.00249074</v>
      </c>
      <c r="Q91" s="44">
        <f t="shared" si="14"/>
        <v>1.27366E-06</v>
      </c>
      <c r="R91" s="44">
        <f>O91+P91*('Ballistics Table'!C24-S91)+Q91*('Ballistics Table'!C24-S91)^2</f>
        <v>4.01824981496</v>
      </c>
      <c r="S91" s="44">
        <f t="shared" si="15"/>
        <v>1750</v>
      </c>
      <c r="T91" s="44">
        <f>('Cartridge Info'!$B$7/$F$98)*(R91-$F$96)</f>
        <v>1.5113525701700001</v>
      </c>
      <c r="U91" s="44">
        <f>14.0069+6.59285*(('Ballistics Table'!C24/'Cartridge Info'!$B$5)-0.65)-1.94051*(('Ballistics Table'!C24/'Cartridge Info'!$B$5)-0.65)^2</f>
        <v>13.16624043899835</v>
      </c>
      <c r="V91" s="42"/>
      <c r="W91" s="42"/>
      <c r="X91" s="42"/>
      <c r="Y91" s="42"/>
      <c r="Z91" s="42"/>
    </row>
    <row r="92" spans="1:26" ht="12">
      <c r="A92" s="44">
        <v>3958.11</v>
      </c>
      <c r="B92" s="44">
        <f t="shared" si="8"/>
        <v>0.000252645833491237</v>
      </c>
      <c r="C92" s="44">
        <v>4250</v>
      </c>
      <c r="D92" s="44">
        <v>3369.09</v>
      </c>
      <c r="E92" s="44">
        <v>-2.29123</v>
      </c>
      <c r="F92" s="44">
        <v>0.000257709</v>
      </c>
      <c r="G92" s="44">
        <v>0.670381</v>
      </c>
      <c r="H92" s="44">
        <v>-0.000540083</v>
      </c>
      <c r="I92" s="44">
        <v>1.24357E-07</v>
      </c>
      <c r="J92" s="44">
        <f>$F$97+3*'Ballistics Table'!B25/('Cartridge Info'!$B$7/$F$98)</f>
        <v>12192.282977359999</v>
      </c>
      <c r="K92" s="42"/>
      <c r="L92" s="44">
        <f t="shared" si="9"/>
        <v>11189.1</v>
      </c>
      <c r="M92" s="44">
        <f t="shared" si="10"/>
        <v>-4.31589</v>
      </c>
      <c r="N92" s="44">
        <f t="shared" si="11"/>
        <v>0.000960342</v>
      </c>
      <c r="O92" s="44">
        <f t="shared" si="12"/>
        <v>3.56969</v>
      </c>
      <c r="P92" s="44">
        <f t="shared" si="13"/>
        <v>-0.00249074</v>
      </c>
      <c r="Q92" s="44">
        <f t="shared" si="14"/>
        <v>1.27366E-06</v>
      </c>
      <c r="R92" s="44">
        <f>O92+P92*('Ballistics Table'!C25-S92)+Q92*('Ballistics Table'!C25-S92)^2</f>
        <v>4.18540533944</v>
      </c>
      <c r="S92" s="44">
        <f t="shared" si="15"/>
        <v>1750</v>
      </c>
      <c r="T92" s="44">
        <f>('Cartridge Info'!$B$7/$F$98)*(R92-$F$96)</f>
        <v>1.6158247729700002</v>
      </c>
      <c r="U92" s="44">
        <f>14.0069+6.59285*(('Ballistics Table'!C25/'Cartridge Info'!$B$5)-0.65)-1.94051*(('Ballistics Table'!C25/'Cartridge Info'!$B$5)-0.65)^2</f>
        <v>13.033849151751596</v>
      </c>
      <c r="V92" s="42"/>
      <c r="W92" s="42"/>
      <c r="X92" s="42"/>
      <c r="Y92" s="42"/>
      <c r="Z92" s="42"/>
    </row>
    <row r="93" spans="1:26" ht="12">
      <c r="A93" s="44"/>
      <c r="B93" s="44"/>
      <c r="C93" s="44"/>
      <c r="D93" s="44"/>
      <c r="E93" s="44"/>
      <c r="F93" s="44"/>
      <c r="G93" s="44"/>
      <c r="H93" s="44"/>
      <c r="I93" s="44"/>
      <c r="J93" s="44">
        <f>$F$97+3*'Ballistics Table'!B26/('Cartridge Info'!$B$7/$F$98)</f>
        <v>12454.746977359999</v>
      </c>
      <c r="K93" s="42"/>
      <c r="L93" s="44">
        <f t="shared" si="9"/>
        <v>11189.1</v>
      </c>
      <c r="M93" s="44">
        <f t="shared" si="10"/>
        <v>-4.31589</v>
      </c>
      <c r="N93" s="44">
        <f t="shared" si="11"/>
        <v>0.000960342</v>
      </c>
      <c r="O93" s="44">
        <f t="shared" si="12"/>
        <v>3.56969</v>
      </c>
      <c r="P93" s="44">
        <f t="shared" si="13"/>
        <v>-0.00249074</v>
      </c>
      <c r="Q93" s="44">
        <f t="shared" si="14"/>
        <v>1.27366E-06</v>
      </c>
      <c r="R93" s="44">
        <f>O93+P93*('Ballistics Table'!C26-S93)+Q93*('Ballistics Table'!C26-S93)^2</f>
        <v>4.35735163814</v>
      </c>
      <c r="S93" s="44">
        <f t="shared" si="15"/>
        <v>1750</v>
      </c>
      <c r="T93" s="44">
        <f>('Cartridge Info'!$B$7/$F$98)*(R93-$F$96)</f>
        <v>1.7232912096575002</v>
      </c>
      <c r="U93" s="44">
        <f>14.0069+6.59285*(('Ballistics Table'!C26/'Cartridge Info'!$B$5)-0.65)-1.94051*(('Ballistics Table'!C26/'Cartridge Info'!$B$5)-0.65)^2</f>
        <v>12.902510931514318</v>
      </c>
      <c r="V93" s="42"/>
      <c r="W93" s="42"/>
      <c r="X93" s="42"/>
      <c r="Y93" s="42"/>
      <c r="Z93" s="42"/>
    </row>
    <row r="94" spans="1:26" ht="12">
      <c r="A94" s="44"/>
      <c r="B94" s="44"/>
      <c r="C94" s="44"/>
      <c r="D94" s="44"/>
      <c r="E94" s="44"/>
      <c r="F94" s="44"/>
      <c r="G94" s="44"/>
      <c r="H94" s="44"/>
      <c r="I94" s="44"/>
      <c r="J94" s="44">
        <f>$F$97+3*'Ballistics Table'!B27/('Cartridge Info'!$B$7/$F$98)</f>
        <v>12717.210977359999</v>
      </c>
      <c r="K94" s="42"/>
      <c r="L94" s="44">
        <f t="shared" si="9"/>
        <v>12977.5</v>
      </c>
      <c r="M94" s="44">
        <f t="shared" si="10"/>
        <v>-5.5464</v>
      </c>
      <c r="N94" s="44">
        <f t="shared" si="11"/>
        <v>0.00306207</v>
      </c>
      <c r="O94" s="44">
        <f t="shared" si="12"/>
        <v>4.72557</v>
      </c>
      <c r="P94" s="44">
        <f t="shared" si="13"/>
        <v>-0.00405656</v>
      </c>
      <c r="Q94" s="44">
        <f t="shared" si="14"/>
        <v>3.72586E-06</v>
      </c>
      <c r="R94" s="44">
        <f>O94+P94*('Ballistics Table'!C27-S94)+Q94*('Ballistics Table'!C27-S94)^2</f>
        <v>4.53943950144</v>
      </c>
      <c r="S94" s="44">
        <f t="shared" si="15"/>
        <v>1375</v>
      </c>
      <c r="T94" s="44">
        <f>('Cartridge Info'!$B$7/$F$98)*(R94-$F$96)</f>
        <v>1.8370961242200003</v>
      </c>
      <c r="U94" s="44">
        <f>14.0069+6.59285*(('Ballistics Table'!C27/'Cartridge Info'!$B$5)-0.65)-1.94051*(('Ballistics Table'!C27/'Cartridge Info'!$B$5)-0.65)^2</f>
        <v>12.781985099622988</v>
      </c>
      <c r="V94" s="42"/>
      <c r="W94" s="42"/>
      <c r="X94" s="42"/>
      <c r="Y94" s="42"/>
      <c r="Z94" s="42"/>
    </row>
    <row r="95" spans="1:26" ht="12">
      <c r="A95" s="44"/>
      <c r="B95" s="44"/>
      <c r="C95" s="44"/>
      <c r="D95" s="44"/>
      <c r="E95" s="44"/>
      <c r="F95" s="44"/>
      <c r="G95" s="44"/>
      <c r="H95" s="44"/>
      <c r="I95" s="44"/>
      <c r="J95" s="44">
        <f>$F$97+3*'Ballistics Table'!B28/('Cartridge Info'!$B$7/$F$98)</f>
        <v>12979.674977359999</v>
      </c>
      <c r="K95" s="42"/>
      <c r="L95" s="44">
        <f t="shared" si="9"/>
        <v>12977.5</v>
      </c>
      <c r="M95" s="44">
        <f t="shared" si="10"/>
        <v>-5.5464</v>
      </c>
      <c r="N95" s="44">
        <f t="shared" si="11"/>
        <v>0.00306207</v>
      </c>
      <c r="O95" s="44">
        <f t="shared" si="12"/>
        <v>4.72557</v>
      </c>
      <c r="P95" s="44">
        <f t="shared" si="13"/>
        <v>-0.00405656</v>
      </c>
      <c r="Q95" s="44">
        <f t="shared" si="14"/>
        <v>3.72586E-06</v>
      </c>
      <c r="R95" s="44">
        <f>O95+P95*('Ballistics Table'!C28-S95)+Q95*('Ballistics Table'!C28-S95)^2</f>
        <v>4.729630285860001</v>
      </c>
      <c r="S95" s="44">
        <f t="shared" si="15"/>
        <v>1375</v>
      </c>
      <c r="T95" s="44">
        <f>('Cartridge Info'!$B$7/$F$98)*(R95-$F$96)</f>
        <v>1.9559653644825008</v>
      </c>
      <c r="U95" s="44">
        <f>14.0069+6.59285*(('Ballistics Table'!C28/'Cartridge Info'!$B$5)-0.65)-1.94051*(('Ballistics Table'!C28/'Cartridge Info'!$B$5)-0.65)^2</f>
        <v>12.66282802070121</v>
      </c>
      <c r="V95" s="42"/>
      <c r="W95" s="42"/>
      <c r="X95" s="42"/>
      <c r="Y95" s="42"/>
      <c r="Z95" s="42"/>
    </row>
    <row r="96" spans="1:26" ht="12">
      <c r="A96" s="44"/>
      <c r="B96" s="44"/>
      <c r="C96" s="44"/>
      <c r="D96" s="44"/>
      <c r="E96" s="44"/>
      <c r="F96" s="44">
        <f>O71+P71*('Cartridge Info'!$B$5-$S$71)+Q71*('Cartridge Info'!$B$5-$S$71)^2</f>
        <v>1.600085702688</v>
      </c>
      <c r="G96" s="44"/>
      <c r="H96" s="311" t="s">
        <v>22</v>
      </c>
      <c r="I96" s="44"/>
      <c r="J96" s="44">
        <f>$F$97+3*'Ballistics Table'!B29/('Cartridge Info'!$B$7/$F$98)</f>
        <v>13242.138977359999</v>
      </c>
      <c r="K96" s="42"/>
      <c r="L96" s="44">
        <f t="shared" si="9"/>
        <v>12977.5</v>
      </c>
      <c r="M96" s="44">
        <f t="shared" si="10"/>
        <v>-5.5464</v>
      </c>
      <c r="N96" s="44">
        <f t="shared" si="11"/>
        <v>0.00306207</v>
      </c>
      <c r="O96" s="44">
        <f t="shared" si="12"/>
        <v>4.72557</v>
      </c>
      <c r="P96" s="44">
        <f t="shared" si="13"/>
        <v>-0.00405656</v>
      </c>
      <c r="Q96" s="44">
        <f t="shared" si="14"/>
        <v>3.72586E-06</v>
      </c>
      <c r="R96" s="44">
        <f>O96+P96*('Ballistics Table'!C29-S96)+Q96*('Ballistics Table'!C29-S96)^2</f>
        <v>4.92445874474</v>
      </c>
      <c r="S96" s="44">
        <f t="shared" si="15"/>
        <v>1375</v>
      </c>
      <c r="T96" s="44">
        <f>('Cartridge Info'!$B$7/$F$98)*(R96-$F$96)</f>
        <v>2.0777331512825</v>
      </c>
      <c r="U96" s="44">
        <f>14.0069+6.59285*(('Ballistics Table'!C29/'Cartridge Info'!$B$5)-0.65)-1.94051*(('Ballistics Table'!C29/'Cartridge Info'!$B$5)-0.65)^2</f>
        <v>12.5500278053559</v>
      </c>
      <c r="V96" s="42"/>
      <c r="W96" s="42"/>
      <c r="X96" s="42"/>
      <c r="Y96" s="42"/>
      <c r="Z96" s="42"/>
    </row>
    <row r="97" spans="1:26" ht="12">
      <c r="A97" s="44"/>
      <c r="B97" s="44"/>
      <c r="C97" s="44"/>
      <c r="D97" s="44"/>
      <c r="E97" s="44"/>
      <c r="F97" s="44">
        <f>L71+M71*('Cartridge Info'!$B$5-S71)+N71*('Cartridge Info'!$B$5-S71)^2</f>
        <v>6680.53897736</v>
      </c>
      <c r="G97" s="44"/>
      <c r="H97" s="311" t="s">
        <v>23</v>
      </c>
      <c r="I97" s="44"/>
      <c r="J97" s="44">
        <f>$F$97+3*'Ballistics Table'!B30/('Cartridge Info'!$B$7/$F$98)</f>
        <v>13504.602977359998</v>
      </c>
      <c r="K97" s="42"/>
      <c r="L97" s="44">
        <f t="shared" si="9"/>
        <v>12977.5</v>
      </c>
      <c r="M97" s="44">
        <f t="shared" si="10"/>
        <v>-5.5464</v>
      </c>
      <c r="N97" s="44">
        <f t="shared" si="11"/>
        <v>0.00306207</v>
      </c>
      <c r="O97" s="44">
        <f t="shared" si="12"/>
        <v>4.72557</v>
      </c>
      <c r="P97" s="44">
        <f t="shared" si="13"/>
        <v>-0.00405656</v>
      </c>
      <c r="Q97" s="44">
        <f t="shared" si="14"/>
        <v>3.72586E-06</v>
      </c>
      <c r="R97" s="44">
        <f>O97+P97*('Ballistics Table'!C30-S97)+Q97*('Ballistics Table'!C30-S97)^2</f>
        <v>5.125570806660001</v>
      </c>
      <c r="S97" s="44">
        <f t="shared" si="15"/>
        <v>1375</v>
      </c>
      <c r="T97" s="44">
        <f>('Cartridge Info'!$B$7/$F$98)*(R97-$F$96)</f>
        <v>2.2034281899825006</v>
      </c>
      <c r="U97" s="44">
        <f>14.0069+6.59285*(('Ballistics Table'!C30/'Cartridge Info'!$B$5)-0.65)-1.94051*(('Ballistics Table'!C30/'Cartridge Info'!$B$5)-0.65)^2</f>
        <v>12.441281527878475</v>
      </c>
      <c r="V97" s="42"/>
      <c r="W97" s="42"/>
      <c r="X97" s="42"/>
      <c r="Y97" s="42"/>
      <c r="Z97" s="42"/>
    </row>
    <row r="98" spans="1:26" ht="12">
      <c r="A98" s="44"/>
      <c r="B98" s="44"/>
      <c r="C98" s="44"/>
      <c r="D98" s="44"/>
      <c r="E98" s="44"/>
      <c r="F98" s="44">
        <f>$F$99*$F$100</f>
        <v>0.9999999999999998</v>
      </c>
      <c r="G98" s="44"/>
      <c r="H98" s="311" t="s">
        <v>24</v>
      </c>
      <c r="I98" s="44"/>
      <c r="J98" s="44">
        <f>$F$97+3*'Ballistics Table'!B31/('Cartridge Info'!$B$7/$F$98)</f>
        <v>13767.066977359998</v>
      </c>
      <c r="K98" s="42"/>
      <c r="L98" s="44">
        <f t="shared" si="9"/>
        <v>12977.5</v>
      </c>
      <c r="M98" s="44">
        <f t="shared" si="10"/>
        <v>-5.5464</v>
      </c>
      <c r="N98" s="44">
        <f t="shared" si="11"/>
        <v>0.00306207</v>
      </c>
      <c r="O98" s="44">
        <f t="shared" si="12"/>
        <v>4.72557</v>
      </c>
      <c r="P98" s="44">
        <f t="shared" si="13"/>
        <v>-0.00405656</v>
      </c>
      <c r="Q98" s="44">
        <f t="shared" si="14"/>
        <v>3.72586E-06</v>
      </c>
      <c r="R98" s="44">
        <f>O98+P98*('Ballistics Table'!C31-S98)+Q98*('Ballistics Table'!C31-S98)^2</f>
        <v>5.33099921754</v>
      </c>
      <c r="S98" s="44">
        <f t="shared" si="15"/>
        <v>1375</v>
      </c>
      <c r="T98" s="44">
        <f>('Cartridge Info'!$B$7/$F$98)*(R98-$F$96)</f>
        <v>2.3318209467825</v>
      </c>
      <c r="U98" s="44">
        <f>14.0069+6.59285*(('Ballistics Table'!C31/'Cartridge Info'!$B$5)-0.65)-1.94051*(('Ballistics Table'!C31/'Cartridge Info'!$B$5)-0.65)^2</f>
        <v>12.336702577511742</v>
      </c>
      <c r="V98" s="42"/>
      <c r="W98" s="42"/>
      <c r="X98" s="42"/>
      <c r="Y98" s="42"/>
      <c r="Z98" s="42"/>
    </row>
    <row r="99" spans="1:26" ht="12">
      <c r="A99" s="44"/>
      <c r="B99" s="44"/>
      <c r="C99" s="44"/>
      <c r="D99" s="44"/>
      <c r="E99" s="44"/>
      <c r="F99" s="44">
        <f>1-0.0000359596*'Cartridge Info'!$B$10+0.00000000047741*'Cartridge Info'!$B$10^2</f>
        <v>1</v>
      </c>
      <c r="G99" s="44"/>
      <c r="H99" s="311" t="s">
        <v>25</v>
      </c>
      <c r="I99" s="44"/>
      <c r="J99" s="44">
        <f>$F$97+3*'Ballistics Table'!B32/('Cartridge Info'!$B$7/$F$98)</f>
        <v>14029.53097736</v>
      </c>
      <c r="K99" s="42"/>
      <c r="L99" s="44">
        <f t="shared" si="9"/>
        <v>14062.5</v>
      </c>
      <c r="M99" s="44">
        <f t="shared" si="10"/>
        <v>-7.2568</v>
      </c>
      <c r="N99" s="44">
        <f t="shared" si="11"/>
        <v>0.00850001</v>
      </c>
      <c r="O99" s="44">
        <f t="shared" si="12"/>
        <v>5.57228</v>
      </c>
      <c r="P99" s="44">
        <f t="shared" si="13"/>
        <v>-0.006058</v>
      </c>
      <c r="Q99" s="44">
        <f t="shared" si="14"/>
        <v>9.6174E-06</v>
      </c>
      <c r="R99" s="44">
        <f>O99+P99*('Ballistics Table'!C32-S99)+Q99*('Ballistics Table'!C32-S99)^2</f>
        <v>5.5482018784000005</v>
      </c>
      <c r="S99" s="44">
        <f t="shared" si="15"/>
        <v>1200</v>
      </c>
      <c r="T99" s="44">
        <f>('Cartridge Info'!$B$7/$F$98)*(R99-$F$96)</f>
        <v>2.4675726098200004</v>
      </c>
      <c r="U99" s="44">
        <f>14.0069+6.59285*(('Ballistics Table'!C32/'Cartridge Info'!$B$5)-0.65)-1.94051*(('Ballistics Table'!C32/'Cartridge Info'!$B$5)-0.65)^2</f>
        <v>12.241430680024392</v>
      </c>
      <c r="V99" s="42"/>
      <c r="W99" s="42"/>
      <c r="X99" s="42"/>
      <c r="Y99" s="42"/>
      <c r="Z99" s="42"/>
    </row>
    <row r="100" spans="1:26" ht="12">
      <c r="A100" s="44"/>
      <c r="B100" s="44"/>
      <c r="C100" s="44"/>
      <c r="D100" s="44"/>
      <c r="E100" s="44"/>
      <c r="F100" s="44">
        <f>518.67/(459.67+'Cartridge Info'!$B$11)</f>
        <v>0.9999999999999998</v>
      </c>
      <c r="G100" s="44"/>
      <c r="H100" s="311" t="s">
        <v>26</v>
      </c>
      <c r="I100" s="44"/>
      <c r="J100" s="44">
        <f>$F$97+3*'Ballistics Table'!B33/('Cartridge Info'!$B$7/$F$98)</f>
        <v>14291.99497736</v>
      </c>
      <c r="K100" s="42"/>
      <c r="L100" s="44">
        <f t="shared" si="9"/>
        <v>14062.5</v>
      </c>
      <c r="M100" s="44">
        <f t="shared" si="10"/>
        <v>-7.2568</v>
      </c>
      <c r="N100" s="44">
        <f t="shared" si="11"/>
        <v>0.00850001</v>
      </c>
      <c r="O100" s="44">
        <f t="shared" si="12"/>
        <v>5.57228</v>
      </c>
      <c r="P100" s="44">
        <f t="shared" si="13"/>
        <v>-0.006058</v>
      </c>
      <c r="Q100" s="44">
        <f t="shared" si="14"/>
        <v>9.6174E-06</v>
      </c>
      <c r="R100" s="44">
        <f>O100+P100*('Ballistics Table'!C33-S100)+Q100*('Ballistics Table'!C33-S100)^2</f>
        <v>5.7693203214</v>
      </c>
      <c r="S100" s="44">
        <f t="shared" si="15"/>
        <v>1200</v>
      </c>
      <c r="T100" s="44">
        <f>('Cartridge Info'!$B$7/$F$98)*(R100-$F$96)</f>
        <v>2.6057716366950006</v>
      </c>
      <c r="U100" s="44">
        <f>14.0069+6.59285*(('Ballistics Table'!C33/'Cartridge Info'!$B$5)-0.65)-1.94051*(('Ballistics Table'!C33/'Cartridge Info'!$B$5)-0.65)^2</f>
        <v>12.153131555864197</v>
      </c>
      <c r="V100" s="42"/>
      <c r="W100" s="42"/>
      <c r="X100" s="42"/>
      <c r="Y100" s="42"/>
      <c r="Z100" s="42"/>
    </row>
    <row r="101" spans="1:26" ht="12">
      <c r="A101" s="44"/>
      <c r="B101" s="44"/>
      <c r="C101" s="44"/>
      <c r="D101" s="44"/>
      <c r="E101" s="44"/>
      <c r="F101" s="44"/>
      <c r="G101" s="44"/>
      <c r="H101" s="44"/>
      <c r="I101" s="44"/>
      <c r="J101" s="44">
        <f>$F$97+3*'Ballistics Table'!B34/('Cartridge Info'!$B$7/$F$98)</f>
        <v>14554.45897736</v>
      </c>
      <c r="K101" s="42"/>
      <c r="L101" s="44">
        <f t="shared" si="9"/>
        <v>14062.5</v>
      </c>
      <c r="M101" s="44">
        <f t="shared" si="10"/>
        <v>-7.2568</v>
      </c>
      <c r="N101" s="44">
        <f t="shared" si="11"/>
        <v>0.00850001</v>
      </c>
      <c r="O101" s="44">
        <f t="shared" si="12"/>
        <v>5.57228</v>
      </c>
      <c r="P101" s="44">
        <f t="shared" si="13"/>
        <v>-0.006058</v>
      </c>
      <c r="Q101" s="44">
        <f t="shared" si="14"/>
        <v>9.6174E-06</v>
      </c>
      <c r="R101" s="44">
        <f>O101+P101*('Ballistics Table'!C34-S101)+Q101*('Ballistics Table'!C34-S101)^2</f>
        <v>5.9993848704</v>
      </c>
      <c r="S101" s="44">
        <f t="shared" si="15"/>
        <v>1200</v>
      </c>
      <c r="T101" s="44">
        <f>('Cartridge Info'!$B$7/$F$98)*(R101-$F$96)</f>
        <v>2.7495619798200006</v>
      </c>
      <c r="U101" s="44">
        <f>14.0069+6.59285*(('Ballistics Table'!C34/'Cartridge Info'!$B$5)-0.65)-1.94051*(('Ballistics Table'!C34/'Cartridge Info'!$B$5)-0.65)^2</f>
        <v>12.069396191659806</v>
      </c>
      <c r="V101" s="42"/>
      <c r="W101" s="42"/>
      <c r="X101" s="42"/>
      <c r="Y101" s="42"/>
      <c r="Z101" s="42"/>
    </row>
    <row r="102" spans="1:26" ht="12">
      <c r="A102" s="44"/>
      <c r="B102" s="44"/>
      <c r="C102" s="44"/>
      <c r="D102" s="44"/>
      <c r="E102" s="44"/>
      <c r="F102" s="44"/>
      <c r="G102" s="44"/>
      <c r="H102" s="44"/>
      <c r="I102" s="44"/>
      <c r="J102" s="44">
        <f>$F$97+3*'Ballistics Table'!B35/('Cartridge Info'!$B$7/$F$98)</f>
        <v>14816.922977360002</v>
      </c>
      <c r="K102" s="42"/>
      <c r="L102" s="44">
        <f t="shared" si="9"/>
        <v>14530.6</v>
      </c>
      <c r="M102" s="44">
        <f t="shared" si="10"/>
        <v>-8.482001</v>
      </c>
      <c r="N102" s="44">
        <f t="shared" si="11"/>
        <v>0.0116909</v>
      </c>
      <c r="O102" s="44">
        <f t="shared" si="12"/>
        <v>5.97274</v>
      </c>
      <c r="P102" s="44">
        <f t="shared" si="13"/>
        <v>-0.00745342</v>
      </c>
      <c r="Q102" s="44">
        <f t="shared" si="14"/>
        <v>1.50953E-05</v>
      </c>
      <c r="R102" s="44">
        <f>O102+P102*('Ballistics Table'!C35-S102)+Q102*('Ballistics Table'!C35-S102)^2</f>
        <v>6.235141641699999</v>
      </c>
      <c r="S102" s="44">
        <f t="shared" si="15"/>
        <v>1140</v>
      </c>
      <c r="T102" s="44">
        <f>('Cartridge Info'!$B$7/$F$98)*(R102-$F$96)</f>
        <v>2.8969099618825</v>
      </c>
      <c r="U102" s="44">
        <f>14.0069+6.59285*(('Ballistics Table'!C35/'Cartridge Info'!$B$5)-0.65)-1.94051*(('Ballistics Table'!C35/'Cartridge Info'!$B$5)-0.65)^2</f>
        <v>11.995424443838969</v>
      </c>
      <c r="V102" s="42"/>
      <c r="W102" s="42"/>
      <c r="X102" s="42"/>
      <c r="Y102" s="42"/>
      <c r="Z102" s="42"/>
    </row>
    <row r="103" spans="1:26" ht="12">
      <c r="A103" s="44"/>
      <c r="B103" s="44"/>
      <c r="C103" s="44"/>
      <c r="D103" s="44"/>
      <c r="E103" s="44"/>
      <c r="F103" s="44"/>
      <c r="G103" s="44"/>
      <c r="H103" s="44"/>
      <c r="I103" s="44"/>
      <c r="J103" s="44">
        <f>$F$97+3*'Ballistics Table'!B36/('Cartridge Info'!$B$7/$F$98)</f>
        <v>15079.386977360002</v>
      </c>
      <c r="K103" s="42"/>
      <c r="L103" s="44">
        <f t="shared" si="9"/>
        <v>14846</v>
      </c>
      <c r="M103" s="44">
        <f t="shared" si="10"/>
        <v>-9.58136</v>
      </c>
      <c r="N103" s="44">
        <f t="shared" si="11"/>
        <v>0.0164795</v>
      </c>
      <c r="O103" s="44">
        <f t="shared" si="12"/>
        <v>6.25378</v>
      </c>
      <c r="P103" s="44">
        <f t="shared" si="13"/>
        <v>-0.00866849</v>
      </c>
      <c r="Q103" s="44">
        <f t="shared" si="14"/>
        <v>2.0396E-05</v>
      </c>
      <c r="R103" s="44">
        <f>O103+P103*('Ballistics Table'!C36-S103)+Q103*('Ballistics Table'!C36-S103)^2</f>
        <v>6.4735718559999995</v>
      </c>
      <c r="S103" s="44">
        <f t="shared" si="15"/>
        <v>1105</v>
      </c>
      <c r="T103" s="44">
        <f>('Cartridge Info'!$B$7/$F$98)*(R103-$F$96)</f>
        <v>3.0459288458200002</v>
      </c>
      <c r="U103" s="44">
        <f>14.0069+6.59285*(('Ballistics Table'!C36/'Cartridge Info'!$B$5)-0.65)-1.94051*(('Ballistics Table'!C36/'Cartridge Info'!$B$5)-0.65)^2</f>
        <v>11.92879784992677</v>
      </c>
      <c r="V103" s="42"/>
      <c r="W103" s="42"/>
      <c r="X103" s="42"/>
      <c r="Y103" s="42"/>
      <c r="Z103" s="42"/>
    </row>
    <row r="104" spans="1:26" ht="12">
      <c r="A104" s="44"/>
      <c r="B104" s="44"/>
      <c r="C104" s="44"/>
      <c r="D104" s="44"/>
      <c r="E104" s="44"/>
      <c r="F104" s="44"/>
      <c r="G104" s="44"/>
      <c r="H104" s="44"/>
      <c r="I104" s="44"/>
      <c r="J104" s="44">
        <f>$F$97+3*'Ballistics Table'!B37/('Cartridge Info'!$B$7/$F$98)</f>
        <v>15341.850977360002</v>
      </c>
      <c r="K104" s="42"/>
      <c r="L104" s="44">
        <f t="shared" si="9"/>
        <v>15019.2</v>
      </c>
      <c r="M104" s="44">
        <f t="shared" si="10"/>
        <v>-10.2383</v>
      </c>
      <c r="N104" s="44">
        <f t="shared" si="11"/>
        <v>0.0199585</v>
      </c>
      <c r="O104" s="44">
        <f t="shared" si="12"/>
        <v>6.41183</v>
      </c>
      <c r="P104" s="44">
        <f t="shared" si="13"/>
        <v>-0.00941688</v>
      </c>
      <c r="Q104" s="44">
        <f t="shared" si="14"/>
        <v>2.2611E-05</v>
      </c>
      <c r="R104" s="44">
        <f>O104+P104*('Ballistics Table'!C37-S104)+Q104*('Ballistics Table'!C37-S104)^2</f>
        <v>6.72007872275</v>
      </c>
      <c r="S104" s="44">
        <f t="shared" si="15"/>
        <v>1087.5</v>
      </c>
      <c r="T104" s="44">
        <f>('Cartridge Info'!$B$7/$F$98)*(R104-$F$96)</f>
        <v>3.1999956375387506</v>
      </c>
      <c r="U104" s="44">
        <f>14.0069+6.59285*(('Ballistics Table'!C37/'Cartridge Info'!$B$5)-0.65)-1.94051*(('Ballistics Table'!C37/'Cartridge Info'!$B$5)-0.65)^2</f>
        <v>11.867038675798648</v>
      </c>
      <c r="V104" s="42"/>
      <c r="W104" s="42"/>
      <c r="X104" s="42"/>
      <c r="Y104" s="42"/>
      <c r="Z104" s="42"/>
    </row>
    <row r="105" spans="1:26" ht="12">
      <c r="A105" s="44"/>
      <c r="B105" s="44"/>
      <c r="C105" s="44"/>
      <c r="D105" s="44"/>
      <c r="E105" s="44"/>
      <c r="F105" s="44"/>
      <c r="G105" s="44"/>
      <c r="H105" s="44"/>
      <c r="I105" s="44"/>
      <c r="J105" s="44">
        <f>$F$97+3*'Ballistics Table'!B38/('Cartridge Info'!$B$7/$F$98)</f>
        <v>15604.314977360002</v>
      </c>
      <c r="K105" s="42"/>
      <c r="L105" s="44">
        <f t="shared" si="9"/>
        <v>15288.1</v>
      </c>
      <c r="M105" s="44">
        <f t="shared" si="10"/>
        <v>-11.3183</v>
      </c>
      <c r="N105" s="44">
        <f t="shared" si="11"/>
        <v>0.023346</v>
      </c>
      <c r="O105" s="44">
        <f t="shared" si="12"/>
        <v>6.66207</v>
      </c>
      <c r="P105" s="44">
        <f t="shared" si="13"/>
        <v>-0.0106524</v>
      </c>
      <c r="Q105" s="44">
        <f t="shared" si="14"/>
        <v>2.68757E-05</v>
      </c>
      <c r="R105" s="44">
        <f>O105+P105*('Ballistics Table'!C38-S105)+Q105*('Ballistics Table'!C38-S105)^2</f>
        <v>6.963232060325</v>
      </c>
      <c r="S105" s="44">
        <f t="shared" si="15"/>
        <v>1062.5</v>
      </c>
      <c r="T105" s="44">
        <f>('Cartridge Info'!$B$7/$F$98)*(R105-$F$96)</f>
        <v>3.351966473523125</v>
      </c>
      <c r="U105" s="44">
        <f>14.0069+6.59285*(('Ballistics Table'!C38/'Cartridge Info'!$B$5)-0.65)-1.94051*(('Ballistics Table'!C38/'Cartridge Info'!$B$5)-0.65)^2</f>
        <v>11.8127964574622</v>
      </c>
      <c r="V105" s="42"/>
      <c r="W105" s="42"/>
      <c r="X105" s="42"/>
      <c r="Y105" s="42"/>
      <c r="Z105" s="42"/>
    </row>
    <row r="106" spans="1:26" ht="12">
      <c r="A106" s="44"/>
      <c r="B106" s="44"/>
      <c r="C106" s="44"/>
      <c r="D106" s="44"/>
      <c r="E106" s="44"/>
      <c r="F106" s="44"/>
      <c r="G106" s="44"/>
      <c r="H106" s="44"/>
      <c r="I106" s="44"/>
      <c r="J106" s="44">
        <f>$F$97+3*'Ballistics Table'!B39/('Cartridge Info'!$B$7/$F$98)</f>
        <v>15866.778977360002</v>
      </c>
      <c r="K106" s="42"/>
      <c r="L106" s="44">
        <f t="shared" si="9"/>
        <v>15747.2</v>
      </c>
      <c r="M106" s="44">
        <f t="shared" si="10"/>
        <v>-13.2423</v>
      </c>
      <c r="N106" s="44">
        <f t="shared" si="11"/>
        <v>0.0276581</v>
      </c>
      <c r="O106" s="44">
        <f t="shared" si="12"/>
        <v>7.10211</v>
      </c>
      <c r="P106" s="44">
        <f t="shared" si="13"/>
        <v>-0.0129298</v>
      </c>
      <c r="Q106" s="44">
        <f t="shared" si="14"/>
        <v>3.32035E-05</v>
      </c>
      <c r="R106" s="44">
        <f>O106+P106*('Ballistics Table'!C39-S106)+Q106*('Ballistics Table'!C39-S106)^2</f>
        <v>7.2211676835</v>
      </c>
      <c r="S106" s="44">
        <f t="shared" si="15"/>
        <v>1025</v>
      </c>
      <c r="T106" s="44">
        <f>('Cartridge Info'!$B$7/$F$98)*(R106-$F$96)</f>
        <v>3.5131762380075005</v>
      </c>
      <c r="U106" s="44">
        <f>14.0069+6.59285*(('Ballistics Table'!C39/'Cartridge Info'!$B$5)-0.65)-1.94051*(('Ballistics Table'!C39/'Cartridge Info'!$B$5)-0.65)^2</f>
        <v>11.760961104973564</v>
      </c>
      <c r="V106" s="42"/>
      <c r="W106" s="42"/>
      <c r="X106" s="42"/>
      <c r="Y106" s="42"/>
      <c r="Z106" s="42"/>
    </row>
    <row r="107" spans="1:26" ht="12">
      <c r="A107" s="44"/>
      <c r="B107" s="44"/>
      <c r="C107" s="44"/>
      <c r="D107" s="44"/>
      <c r="E107" s="44"/>
      <c r="F107" s="44"/>
      <c r="G107" s="44"/>
      <c r="H107" s="44"/>
      <c r="I107" s="44"/>
      <c r="J107" s="44">
        <f>$F$97+3*'Ballistics Table'!B40/('Cartridge Info'!$B$7/$F$98)</f>
        <v>16129.242977360002</v>
      </c>
      <c r="K107" s="42"/>
      <c r="L107" s="44">
        <f t="shared" si="9"/>
        <v>15747.2</v>
      </c>
      <c r="M107" s="44">
        <f t="shared" si="10"/>
        <v>-13.2423</v>
      </c>
      <c r="N107" s="44">
        <f t="shared" si="11"/>
        <v>0.0276581</v>
      </c>
      <c r="O107" s="44">
        <f t="shared" si="12"/>
        <v>7.10211</v>
      </c>
      <c r="P107" s="44">
        <f t="shared" si="13"/>
        <v>-0.0129298</v>
      </c>
      <c r="Q107" s="44">
        <f t="shared" si="14"/>
        <v>3.32035E-05</v>
      </c>
      <c r="R107" s="44">
        <f>O107+P107*('Ballistics Table'!C40-S107)+Q107*('Ballistics Table'!C40-S107)^2</f>
        <v>7.490175944</v>
      </c>
      <c r="S107" s="44">
        <f t="shared" si="15"/>
        <v>1025</v>
      </c>
      <c r="T107" s="44">
        <f>('Cartridge Info'!$B$7/$F$98)*(R107-$F$96)</f>
        <v>3.6813064008200005</v>
      </c>
      <c r="U107" s="44">
        <f>14.0069+6.59285*(('Ballistics Table'!C40/'Cartridge Info'!$B$5)-0.65)-1.94051*(('Ballistics Table'!C40/'Cartridge Info'!$B$5)-0.65)^2</f>
        <v>11.711558388615195</v>
      </c>
      <c r="V107" s="42"/>
      <c r="W107" s="42"/>
      <c r="X107" s="42"/>
      <c r="Y107" s="42"/>
      <c r="Z107" s="42"/>
    </row>
    <row r="108" spans="1:26" ht="12">
      <c r="A108" s="44"/>
      <c r="B108" s="44"/>
      <c r="C108" s="44"/>
      <c r="D108" s="44"/>
      <c r="E108" s="44"/>
      <c r="F108" s="44"/>
      <c r="G108" s="44"/>
      <c r="H108" s="44"/>
      <c r="I108" s="44"/>
      <c r="J108" s="44">
        <f>$F$97+3*'Ballistics Table'!B41/('Cartridge Info'!$B$7/$F$98)</f>
        <v>16391.70697736</v>
      </c>
      <c r="K108" s="42"/>
      <c r="L108" s="44">
        <f t="shared" si="9"/>
        <v>16906.5</v>
      </c>
      <c r="M108" s="44">
        <f t="shared" si="10"/>
        <v>-17.8388</v>
      </c>
      <c r="N108" s="44">
        <f t="shared" si="11"/>
        <v>0.0325134</v>
      </c>
      <c r="O108" s="44">
        <f t="shared" si="12"/>
        <v>8.27886</v>
      </c>
      <c r="P108" s="44">
        <f t="shared" si="13"/>
        <v>-0.01884</v>
      </c>
      <c r="Q108" s="44">
        <f t="shared" si="14"/>
        <v>4.41677E-05</v>
      </c>
      <c r="R108" s="44">
        <f>O108+P108*('Ballistics Table'!C41-S108)+Q108*('Ballistics Table'!C41-S108)^2</f>
        <v>7.75341093</v>
      </c>
      <c r="S108" s="44">
        <f t="shared" si="15"/>
        <v>950</v>
      </c>
      <c r="T108" s="44">
        <f>('Cartridge Info'!$B$7/$F$98)*(R108-$F$96)</f>
        <v>3.845828267070001</v>
      </c>
      <c r="U108" s="44">
        <f>14.0069+6.59285*(('Ballistics Table'!C41/'Cartridge Info'!$B$5)-0.65)-1.94051*(('Ballistics Table'!C41/'Cartridge Info'!$B$5)-0.65)^2</f>
        <v>11.667224529748763</v>
      </c>
      <c r="V108" s="42"/>
      <c r="W108" s="42"/>
      <c r="X108" s="42"/>
      <c r="Y108" s="42"/>
      <c r="Z108" s="42"/>
    </row>
    <row r="109" spans="1:26" ht="12">
      <c r="A109" s="44"/>
      <c r="B109" s="44"/>
      <c r="C109" s="44"/>
      <c r="D109" s="44"/>
      <c r="E109" s="44"/>
      <c r="F109" s="44"/>
      <c r="G109" s="44"/>
      <c r="H109" s="44"/>
      <c r="I109" s="44"/>
      <c r="J109" s="44">
        <f>$F$97+3*'Ballistics Table'!B42/('Cartridge Info'!$B$7/$F$98)</f>
        <v>16654.17097736</v>
      </c>
      <c r="K109" s="42"/>
      <c r="L109" s="44">
        <f t="shared" si="9"/>
        <v>16906.5</v>
      </c>
      <c r="M109" s="44">
        <f t="shared" si="10"/>
        <v>-17.8388</v>
      </c>
      <c r="N109" s="44">
        <f t="shared" si="11"/>
        <v>0.0325134</v>
      </c>
      <c r="O109" s="44">
        <f t="shared" si="12"/>
        <v>8.27886</v>
      </c>
      <c r="P109" s="44">
        <f t="shared" si="13"/>
        <v>-0.01884</v>
      </c>
      <c r="Q109" s="44">
        <f t="shared" si="14"/>
        <v>4.41677E-05</v>
      </c>
      <c r="R109" s="44">
        <f>O109+P109*('Ballistics Table'!C42-S109)+Q109*('Ballistics Table'!C42-S109)^2</f>
        <v>8.0237568692</v>
      </c>
      <c r="S109" s="44">
        <f t="shared" si="15"/>
        <v>950</v>
      </c>
      <c r="T109" s="44">
        <f>('Cartridge Info'!$B$7/$F$98)*(R109-$F$96)</f>
        <v>4.014794479070001</v>
      </c>
      <c r="U109" s="44">
        <f>14.0069+6.59285*(('Ballistics Table'!C42/'Cartridge Info'!$B$5)-0.65)-1.94051*(('Ballistics Table'!C42/'Cartridge Info'!$B$5)-0.65)^2</f>
        <v>11.625385155690493</v>
      </c>
      <c r="V109" s="42"/>
      <c r="W109" s="42"/>
      <c r="X109" s="42"/>
      <c r="Y109" s="42"/>
      <c r="Z109" s="42"/>
    </row>
    <row r="110" spans="1:26" ht="12">
      <c r="A110" s="44"/>
      <c r="B110" s="44"/>
      <c r="C110" s="44"/>
      <c r="D110" s="44"/>
      <c r="E110" s="44"/>
      <c r="F110" s="44"/>
      <c r="G110" s="44"/>
      <c r="H110" s="44"/>
      <c r="I110" s="44"/>
      <c r="J110" s="44">
        <f>$F$97+3*'Ballistics Table'!B43/('Cartridge Info'!$B$7/$F$98)</f>
        <v>16916.63497736</v>
      </c>
      <c r="K110" s="42"/>
      <c r="L110" s="44">
        <f t="shared" si="9"/>
        <v>16906.5</v>
      </c>
      <c r="M110" s="44">
        <f t="shared" si="10"/>
        <v>-17.8388</v>
      </c>
      <c r="N110" s="44">
        <f t="shared" si="11"/>
        <v>0.0325134</v>
      </c>
      <c r="O110" s="44">
        <f t="shared" si="12"/>
        <v>8.27886</v>
      </c>
      <c r="P110" s="44">
        <f t="shared" si="13"/>
        <v>-0.01884</v>
      </c>
      <c r="Q110" s="44">
        <f t="shared" si="14"/>
        <v>4.41677E-05</v>
      </c>
      <c r="R110" s="44">
        <f>O110+P110*('Ballistics Table'!C43-S110)+Q110*('Ballistics Table'!C43-S110)^2</f>
        <v>8.297744167700001</v>
      </c>
      <c r="S110" s="44">
        <f t="shared" si="15"/>
        <v>950</v>
      </c>
      <c r="T110" s="44">
        <f>('Cartridge Info'!$B$7/$F$98)*(R110-$F$96)</f>
        <v>4.186036540632501</v>
      </c>
      <c r="U110" s="44">
        <f>14.0069+6.59285*(('Ballistics Table'!C43/'Cartridge Info'!$B$5)-0.65)-1.94051*(('Ballistics Table'!C43/'Cartridge Info'!$B$5)-0.65)^2</f>
        <v>11.586060882666347</v>
      </c>
      <c r="V110" s="42"/>
      <c r="W110" s="42"/>
      <c r="X110" s="42"/>
      <c r="Y110" s="42"/>
      <c r="Z110" s="42"/>
    </row>
    <row r="111" spans="1:26" ht="12">
      <c r="A111" s="44"/>
      <c r="B111" s="44"/>
      <c r="C111" s="44"/>
      <c r="D111" s="44"/>
      <c r="E111" s="44"/>
      <c r="F111" s="44"/>
      <c r="G111" s="44"/>
      <c r="H111" s="44"/>
      <c r="I111" s="44"/>
      <c r="J111" s="44">
        <f>$F$97+3*'Ballistics Table'!B44/('Cartridge Info'!$B$7/$F$98)</f>
        <v>17179.09897736</v>
      </c>
      <c r="K111" s="42"/>
      <c r="L111" s="44">
        <f t="shared" si="9"/>
        <v>16906.5</v>
      </c>
      <c r="M111" s="44">
        <f t="shared" si="10"/>
        <v>-17.8388</v>
      </c>
      <c r="N111" s="44">
        <f t="shared" si="11"/>
        <v>0.0325134</v>
      </c>
      <c r="O111" s="44">
        <f t="shared" si="12"/>
        <v>8.27886</v>
      </c>
      <c r="P111" s="44">
        <f t="shared" si="13"/>
        <v>-0.01884</v>
      </c>
      <c r="Q111" s="44">
        <f t="shared" si="14"/>
        <v>4.41677E-05</v>
      </c>
      <c r="R111" s="44">
        <f>O111+P111*('Ballistics Table'!C44-S111)+Q111*('Ballistics Table'!C44-S111)^2</f>
        <v>8.5713977325</v>
      </c>
      <c r="S111" s="44">
        <f t="shared" si="15"/>
        <v>950</v>
      </c>
      <c r="T111" s="44">
        <f>('Cartridge Info'!$B$7/$F$98)*(R111-$F$96)</f>
        <v>4.3570700186325</v>
      </c>
      <c r="U111" s="44">
        <f>14.0069+6.59285*(('Ballistics Table'!C44/'Cartridge Info'!$B$5)-0.65)-1.94051*(('Ballistics Table'!C44/'Cartridge Info'!$B$5)-0.65)^2</f>
        <v>11.54927103838817</v>
      </c>
      <c r="V111" s="42"/>
      <c r="W111" s="42"/>
      <c r="X111" s="42"/>
      <c r="Y111" s="42"/>
      <c r="Z111" s="42"/>
    </row>
    <row r="112" spans="1:26" ht="12">
      <c r="A112" s="44"/>
      <c r="B112" s="44"/>
      <c r="C112" s="44"/>
      <c r="D112" s="44"/>
      <c r="E112" s="44"/>
      <c r="F112" s="44"/>
      <c r="G112" s="44"/>
      <c r="H112" s="44"/>
      <c r="I112" s="44"/>
      <c r="J112" s="44" t="e">
        <f>$F$97+3*'Ballistics Table'!A45/('Cartridge Info'!$B$7/$F$98)</f>
        <v>#VALUE!</v>
      </c>
      <c r="K112" s="42"/>
      <c r="L112" s="44">
        <f t="shared" si="9"/>
        <v>16906.5</v>
      </c>
      <c r="M112" s="44">
        <f t="shared" si="10"/>
        <v>-17.8388</v>
      </c>
      <c r="N112" s="44">
        <f t="shared" si="11"/>
        <v>0.0325134</v>
      </c>
      <c r="O112" s="44">
        <f t="shared" si="12"/>
        <v>8.27886</v>
      </c>
      <c r="P112" s="44">
        <f t="shared" si="13"/>
        <v>-0.01884</v>
      </c>
      <c r="Q112" s="44">
        <f t="shared" si="14"/>
        <v>4.41677E-05</v>
      </c>
      <c r="R112" s="44" t="e">
        <f>O112+P112*('Ballistics Table'!C45-S112)+Q112*('Ballistics Table'!C45-S112)^2</f>
        <v>#VALUE!</v>
      </c>
      <c r="S112" s="44">
        <f t="shared" si="15"/>
        <v>950</v>
      </c>
      <c r="T112" s="44" t="e">
        <f>('Cartridge Info'!$B$7/$F$98)*(R112-$F$96)</f>
        <v>#VALUE!</v>
      </c>
      <c r="U112" s="44" t="e">
        <f>14.0069+6.59285*(('Ballistics Table'!C45/'Cartridge Info'!$B$5)-0.65)-1.94051*(('Ballistics Table'!C45/'Cartridge Info'!$B$5)-0.65)^2</f>
        <v>#VALUE!</v>
      </c>
      <c r="V112" s="42"/>
      <c r="W112" s="42"/>
      <c r="X112" s="42"/>
      <c r="Y112" s="42"/>
      <c r="Z112" s="42"/>
    </row>
    <row r="113" spans="1:26" ht="12">
      <c r="A113" s="44"/>
      <c r="B113" s="44"/>
      <c r="C113" s="44"/>
      <c r="D113" s="44"/>
      <c r="E113" s="44"/>
      <c r="F113" s="44"/>
      <c r="G113" s="44"/>
      <c r="H113" s="44"/>
      <c r="I113" s="44"/>
      <c r="J113" s="42"/>
      <c r="K113" s="42"/>
      <c r="L113" s="42"/>
      <c r="M113" s="44"/>
      <c r="N113" s="44"/>
      <c r="O113" s="44"/>
      <c r="P113" s="44"/>
      <c r="Q113" s="44"/>
      <c r="R113" s="44"/>
      <c r="S113" s="44"/>
      <c r="T113" s="44"/>
      <c r="U113" s="44"/>
      <c r="V113" s="42"/>
      <c r="W113" s="42"/>
      <c r="X113" s="42"/>
      <c r="Y113" s="42"/>
      <c r="Z113" s="42"/>
    </row>
    <row r="114" spans="1:26" ht="1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">
      <c r="A122" s="42" t="s">
        <v>244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>
      <c r="A124" s="312"/>
      <c r="B124" s="43"/>
      <c r="C124" s="43" t="s">
        <v>192</v>
      </c>
      <c r="D124" s="44"/>
      <c r="E124" s="44"/>
      <c r="F124" s="44"/>
      <c r="G124" s="44"/>
      <c r="H124" s="44"/>
      <c r="I124" s="44" t="s">
        <v>182</v>
      </c>
      <c r="J124" s="44"/>
      <c r="K124" s="44"/>
      <c r="L124" s="44"/>
      <c r="M124" s="44"/>
      <c r="N124" s="44"/>
      <c r="O124" s="44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>
      <c r="A125" s="21" t="s">
        <v>184</v>
      </c>
      <c r="B125" s="45"/>
      <c r="C125" s="45" t="s">
        <v>193</v>
      </c>
      <c r="D125" s="44"/>
      <c r="E125" s="44"/>
      <c r="F125" s="44"/>
      <c r="G125" s="44"/>
      <c r="H125" s="44"/>
      <c r="I125" s="44" t="s">
        <v>174</v>
      </c>
      <c r="J125" s="44"/>
      <c r="K125" s="44" t="s">
        <v>174</v>
      </c>
      <c r="L125" s="44" t="s">
        <v>175</v>
      </c>
      <c r="M125" s="44" t="s">
        <v>175</v>
      </c>
      <c r="N125" s="44"/>
      <c r="O125" s="44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>
      <c r="A126" s="21" t="s">
        <v>185</v>
      </c>
      <c r="B126" s="45"/>
      <c r="C126" s="45" t="s">
        <v>194</v>
      </c>
      <c r="D126" s="44"/>
      <c r="E126" s="45" t="s">
        <v>172</v>
      </c>
      <c r="F126" s="45" t="s">
        <v>173</v>
      </c>
      <c r="G126" s="44" t="s">
        <v>183</v>
      </c>
      <c r="H126" s="44"/>
      <c r="I126" s="44" t="s">
        <v>176</v>
      </c>
      <c r="J126" s="44"/>
      <c r="K126" s="44" t="s">
        <v>177</v>
      </c>
      <c r="L126" s="44" t="s">
        <v>176</v>
      </c>
      <c r="M126" s="44" t="s">
        <v>177</v>
      </c>
      <c r="N126" s="44"/>
      <c r="O126" s="44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>
      <c r="A127" s="313">
        <f>IF(SUM('Distances (TRPs)'!B8+'Distances (TRPs)'!C8)&gt;0,ABS(VLOOKUP(D127,$I$137:$L$148,4)+ABS(G127))," ")</f>
        <v>245.60056407582488</v>
      </c>
      <c r="B127" s="46">
        <f>VLOOKUP('Distances (TRPs)'!J8,I137:J148,2)</f>
        <v>210</v>
      </c>
      <c r="C127" s="46">
        <f>IF(A127+B127&gt;360,(A127+B127)-360,A127+B127)</f>
        <v>95.60056407582488</v>
      </c>
      <c r="D127" s="47">
        <f aca="true" t="shared" si="16" ref="D127:D149">IF(E127&lt;0,IF(F127&gt;0,VLOOKUP(ABS(G127),$I$127:$M$131,2),VLOOKUP(ABS(G127),$I$127:$M$131,3)),IF(F127&gt;0,VLOOKUP(ABS(G127),$I$127:$M$131,4),VLOOKUP(ABS(G127),$I$127:$M$131,5)))</f>
        <v>7</v>
      </c>
      <c r="E127" s="44">
        <f>IF(('Distances (TRPs)'!B8+'Distances (TRPs)'!C8)&gt;0,'Distances (TRPs)'!B8-'Distances (TRPs)'!$B$5,)</f>
        <v>-97</v>
      </c>
      <c r="F127" s="44">
        <f>IF(('Distances (TRPs)'!B8+'Distances (TRPs)'!C8)&gt;0,'Distances (TRPs)'!C8-'Distances (TRPs)'!$C$5,)</f>
        <v>-44</v>
      </c>
      <c r="G127" s="44">
        <f aca="true" t="shared" si="17" ref="G127:G149">DEGREES(ATAN(F127/E127))</f>
        <v>24.39943592417513</v>
      </c>
      <c r="H127" s="48">
        <f>ABS((360-(VLOOKUP(D127,$I$137:$J$148,2)))-VLOOKUP('Distances (TRPs)'!$J$8,$I$137:$J$148,2))</f>
        <v>60</v>
      </c>
      <c r="I127" s="44">
        <v>0</v>
      </c>
      <c r="J127" s="44">
        <v>9</v>
      </c>
      <c r="K127" s="44">
        <v>9</v>
      </c>
      <c r="L127" s="44">
        <v>3</v>
      </c>
      <c r="M127" s="44">
        <v>3</v>
      </c>
      <c r="N127" s="44"/>
      <c r="O127" s="44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313">
        <f>IF(SUM('Distances (TRPs)'!B9+'Distances (TRPs)'!C9)&gt;0,ABS(VLOOKUP(D128,$I$137:$L$148,4)+ABS(G128))," ")</f>
        <v>253.83096831239038</v>
      </c>
      <c r="B128" s="46"/>
      <c r="C128" s="46">
        <f>IF(('Distances (TRPs)'!D9+'Distances (TRPs)'!E9+'Distances (TRPs)'!F9)&gt;0,IF($C$127+(360-A128)&gt;360,$C$127+(360-A128)-360,$C$127+(360-A128)),)</f>
        <v>201.7695957634345</v>
      </c>
      <c r="D128" s="47">
        <f t="shared" si="16"/>
        <v>7</v>
      </c>
      <c r="E128" s="44">
        <f>IF(('Distances (TRPs)'!B9+'Distances (TRPs)'!C9)&gt;0,'Distances (TRPs)'!B9-'Distances (TRPs)'!$B$5,)</f>
        <v>-169</v>
      </c>
      <c r="F128" s="44">
        <f>IF(('Distances (TRPs)'!B9+'Distances (TRPs)'!C9)&gt;0,'Distances (TRPs)'!C9-'Distances (TRPs)'!$C$5,)</f>
        <v>-49</v>
      </c>
      <c r="G128" s="44">
        <f t="shared" si="17"/>
        <v>16.16903168760962</v>
      </c>
      <c r="H128" s="48">
        <f>$H$127-VLOOKUP(D128,$I$137:$J$148,2)</f>
        <v>-150</v>
      </c>
      <c r="I128" s="44">
        <v>11.25</v>
      </c>
      <c r="J128" s="44">
        <v>10</v>
      </c>
      <c r="K128" s="44">
        <v>7</v>
      </c>
      <c r="L128" s="44">
        <v>2</v>
      </c>
      <c r="M128" s="44">
        <v>4</v>
      </c>
      <c r="N128" s="44"/>
      <c r="O128" s="44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313" t="str">
        <f>IF(SUM('Distances (TRPs)'!B10+'Distances (TRPs)'!C10)&gt;0,ABS(VLOOKUP(D129,$I$137:$L$148,4)+ABS(G129))," ")</f>
        <v> </v>
      </c>
      <c r="B129" s="46"/>
      <c r="C129" s="46">
        <f>IF(('Distances (TRPs)'!D10+'Distances (TRPs)'!E10+'Distances (TRPs)'!F10)&gt;0,IF($C$127+(360-A129)&gt;360,$C$127+(360-A129)-360,$C$127+(360-A129)),)</f>
        <v>0</v>
      </c>
      <c r="D129" s="47" t="e">
        <f t="shared" si="16"/>
        <v>#DIV/0!</v>
      </c>
      <c r="E129" s="44">
        <f>IF(('Distances (TRPs)'!B10+'Distances (TRPs)'!C10)&gt;0,'Distances (TRPs)'!B10-'Distances (TRPs)'!$B$5,)</f>
        <v>0</v>
      </c>
      <c r="F129" s="44">
        <f>IF(('Distances (TRPs)'!B10+'Distances (TRPs)'!C10)&gt;0,'Distances (TRPs)'!C10-'Distances (TRPs)'!$C$5,)</f>
        <v>0</v>
      </c>
      <c r="G129" s="44" t="e">
        <f t="shared" si="17"/>
        <v>#DIV/0!</v>
      </c>
      <c r="H129" s="48" t="e">
        <f aca="true" t="shared" si="18" ref="H129:H149">($H$127-VLOOKUP(D129,$I$137:$J$148,2))</f>
        <v>#DIV/0!</v>
      </c>
      <c r="I129" s="44">
        <v>45</v>
      </c>
      <c r="J129" s="44">
        <v>11</v>
      </c>
      <c r="K129" s="44">
        <v>8</v>
      </c>
      <c r="L129" s="44">
        <v>1</v>
      </c>
      <c r="M129" s="44">
        <v>5</v>
      </c>
      <c r="N129" s="44"/>
      <c r="O129" s="44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>
      <c r="A130" s="313">
        <f>IF(SUM('Distances (TRPs)'!B11+'Distances (TRPs)'!C11)&gt;0,ABS(VLOOKUP(D130,$I$137:$L$148,4)+ABS(G130))," ")</f>
        <v>279.08494360802814</v>
      </c>
      <c r="B130" s="46"/>
      <c r="C130" s="46">
        <f>IF(('Distances (TRPs)'!D11+'Distances (TRPs)'!E11+'Distances (TRPs)'!F11)&gt;0,IF($C$127+(360-A130)&gt;360,$C$127+(360-A130)-360,$C$127+(360-A130)),)</f>
        <v>176.51562046779674</v>
      </c>
      <c r="D130" s="47">
        <f t="shared" si="16"/>
        <v>9</v>
      </c>
      <c r="E130" s="44">
        <f>IF(('Distances (TRPs)'!B11+'Distances (TRPs)'!C11)&gt;0,'Distances (TRPs)'!B11-'Distances (TRPs)'!$B$5,)</f>
        <v>-419</v>
      </c>
      <c r="F130" s="44">
        <f>IF(('Distances (TRPs)'!B11+'Distances (TRPs)'!C11)&gt;0,'Distances (TRPs)'!C11-'Distances (TRPs)'!$C$5,)</f>
        <v>-67</v>
      </c>
      <c r="G130" s="44">
        <f t="shared" si="17"/>
        <v>9.084943608028167</v>
      </c>
      <c r="H130" s="48">
        <f t="shared" si="18"/>
        <v>-210</v>
      </c>
      <c r="I130" s="44">
        <v>78.75</v>
      </c>
      <c r="J130" s="44">
        <v>12</v>
      </c>
      <c r="K130" s="44">
        <v>6</v>
      </c>
      <c r="L130" s="44">
        <v>12</v>
      </c>
      <c r="M130" s="44">
        <v>6</v>
      </c>
      <c r="N130" s="44"/>
      <c r="O130" s="44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2.75">
      <c r="A131" s="313">
        <f>IF(SUM('Distances (TRPs)'!B12+'Distances (TRPs)'!C12)&gt;0,ABS(VLOOKUP(D131,$I$137:$L$148,4)+ABS(G131))," ")</f>
        <v>201.14802906322137</v>
      </c>
      <c r="B131" s="46"/>
      <c r="C131" s="46">
        <f>IF(('Distances (TRPs)'!D12+'Distances (TRPs)'!E12+'Distances (TRPs)'!F12)&gt;0,IF($C$127+(360-A131)&gt;360,$C$127+(360-A131)-360,$C$127+(360-A131)),)</f>
        <v>254.4525350126035</v>
      </c>
      <c r="D131" s="47">
        <f t="shared" si="16"/>
        <v>8</v>
      </c>
      <c r="E131" s="44">
        <f>IF(('Distances (TRPs)'!B12+'Distances (TRPs)'!C12)&gt;0,'Distances (TRPs)'!B12-'Distances (TRPs)'!$B$5,)</f>
        <v>-94</v>
      </c>
      <c r="F131" s="44">
        <f>IF(('Distances (TRPs)'!B12+'Distances (TRPs)'!C12)&gt;0,'Distances (TRPs)'!C12-'Distances (TRPs)'!$C$5,)</f>
        <v>-243</v>
      </c>
      <c r="G131" s="44">
        <f t="shared" si="17"/>
        <v>68.85197093677863</v>
      </c>
      <c r="H131" s="48">
        <f t="shared" si="18"/>
        <v>-180</v>
      </c>
      <c r="I131" s="44">
        <v>90</v>
      </c>
      <c r="J131" s="44">
        <v>12</v>
      </c>
      <c r="K131" s="44">
        <v>6</v>
      </c>
      <c r="L131" s="44">
        <v>12</v>
      </c>
      <c r="M131" s="44">
        <v>6</v>
      </c>
      <c r="N131" s="44"/>
      <c r="O131" s="44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2.75">
      <c r="A132" s="313">
        <f>IF(SUM('Distances (TRPs)'!B13+'Distances (TRPs)'!C13)&gt;0,ABS(VLOOKUP(D132,$I$137:$L$148,4)+ABS(G132))," ")</f>
        <v>194.90013080728656</v>
      </c>
      <c r="B132" s="46"/>
      <c r="C132" s="46">
        <f>IF(('Distances (TRPs)'!D13+'Distances (TRPs)'!E13+'Distances (TRPs)'!F13)&gt;0,IF($C$127+(360-A132)&gt;360,$C$127+(360-A132)-360,$C$127+(360-A132)),)</f>
        <v>260.7004332685383</v>
      </c>
      <c r="D132" s="47">
        <f t="shared" si="16"/>
        <v>8</v>
      </c>
      <c r="E132" s="44">
        <f>IF(('Distances (TRPs)'!B13+'Distances (TRPs)'!C13)&gt;0,'Distances (TRPs)'!B13-'Distances (TRPs)'!$B$5,)</f>
        <v>-91</v>
      </c>
      <c r="F132" s="44">
        <f>IF(('Distances (TRPs)'!B13+'Distances (TRPs)'!C13)&gt;0,'Distances (TRPs)'!C13-'Distances (TRPs)'!$C$5,)</f>
        <v>-342</v>
      </c>
      <c r="G132" s="44">
        <f t="shared" si="17"/>
        <v>75.09986919271344</v>
      </c>
      <c r="H132" s="48">
        <f t="shared" si="18"/>
        <v>-180</v>
      </c>
      <c r="I132" s="44"/>
      <c r="J132" s="44"/>
      <c r="K132" s="44"/>
      <c r="L132" s="44"/>
      <c r="M132" s="44"/>
      <c r="N132" s="44"/>
      <c r="O132" s="44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>
      <c r="A133" s="313">
        <f>IF(SUM('Distances (TRPs)'!B14+'Distances (TRPs)'!C14)&gt;0,ABS(VLOOKUP(D133,$I$137:$L$148,4)+ABS(G133))," ")</f>
        <v>192.86710414001908</v>
      </c>
      <c r="B133" s="46"/>
      <c r="C133" s="46">
        <f>IF(('Distances (TRPs)'!D14+'Distances (TRPs)'!E14+'Distances (TRPs)'!F14)&gt;0,IF($C$127+(360-A133)&gt;360,$C$127+(360-A133)-360,$C$127+(360-A133)),)</f>
        <v>262.7334599358058</v>
      </c>
      <c r="D133" s="47">
        <f t="shared" si="16"/>
        <v>8</v>
      </c>
      <c r="E133" s="44">
        <f>IF(('Distances (TRPs)'!B14+'Distances (TRPs)'!C14)&gt;0,'Distances (TRPs)'!B14-'Distances (TRPs)'!$B$5,)</f>
        <v>-90</v>
      </c>
      <c r="F133" s="44">
        <f>IF(('Distances (TRPs)'!B14+'Distances (TRPs)'!C14)&gt;0,'Distances (TRPs)'!C14-'Distances (TRPs)'!$C$5,)</f>
        <v>-394</v>
      </c>
      <c r="G133" s="44">
        <f t="shared" si="17"/>
        <v>77.13289585998093</v>
      </c>
      <c r="H133" s="48">
        <f t="shared" si="18"/>
        <v>-180</v>
      </c>
      <c r="I133" s="44" t="s">
        <v>180</v>
      </c>
      <c r="J133" s="44">
        <v>270</v>
      </c>
      <c r="K133" s="44">
        <v>180</v>
      </c>
      <c r="L133" s="44">
        <v>0</v>
      </c>
      <c r="M133" s="44">
        <v>90</v>
      </c>
      <c r="N133" s="44"/>
      <c r="O133" s="44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>
      <c r="A134" s="313">
        <f>IF(SUM('Distances (TRPs)'!B15+'Distances (TRPs)'!C15)&gt;0,ABS(VLOOKUP(D134,$I$137:$L$148,4)+ABS(G134))," ")</f>
        <v>181.46880071438582</v>
      </c>
      <c r="B134" s="46"/>
      <c r="C134" s="46">
        <f>IF(('Distances (TRPs)'!D15+'Distances (TRPs)'!E15+'Distances (TRPs)'!F15)&gt;0,IF($C$127+(360-A134)&gt;360,$C$127+(360-A134)-360,$C$127+(360-A134)),)</f>
        <v>274.1317633614391</v>
      </c>
      <c r="D134" s="47">
        <f t="shared" si="16"/>
        <v>6</v>
      </c>
      <c r="E134" s="44">
        <f>IF(('Distances (TRPs)'!B15+'Distances (TRPs)'!C15)&gt;0,'Distances (TRPs)'!B15-'Distances (TRPs)'!$B$5,)</f>
        <v>8</v>
      </c>
      <c r="F134" s="44">
        <f>IF(('Distances (TRPs)'!B15+'Distances (TRPs)'!C15)&gt;0,'Distances (TRPs)'!C15-'Distances (TRPs)'!$C$5,)</f>
        <v>-312</v>
      </c>
      <c r="G134" s="44">
        <f t="shared" si="17"/>
        <v>-88.53119928561418</v>
      </c>
      <c r="H134" s="48">
        <f t="shared" si="18"/>
        <v>-120</v>
      </c>
      <c r="I134" s="44"/>
      <c r="J134" s="44"/>
      <c r="K134" s="44"/>
      <c r="L134" s="44"/>
      <c r="M134" s="44"/>
      <c r="N134" s="44"/>
      <c r="O134" s="44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>
      <c r="A135" s="313" t="e">
        <f>IF(SUM('Distances (TRPs)'!B16+'Distances (TRPs)'!C16)&gt;0,ABS(VLOOKUP(D135,$I$137:$L$148,4)+ABS(G135))," ")</f>
        <v>#DIV/0!</v>
      </c>
      <c r="B135" s="46"/>
      <c r="C135" s="46">
        <f>IF(('Distances (TRPs)'!D16+'Distances (TRPs)'!E16+'Distances (TRPs)'!F16)&gt;0,IF($C$127+(360-A135)&gt;360,$C$127+(360-A135)-360,$C$127+(360-A135)),)</f>
        <v>0</v>
      </c>
      <c r="D135" s="47" t="e">
        <f t="shared" si="16"/>
        <v>#DIV/0!</v>
      </c>
      <c r="E135" s="44">
        <f>IF(('Distances (TRPs)'!B16+'Distances (TRPs)'!C16)&gt;0,'Distances (TRPs)'!B16-'Distances (TRPs)'!$B$5,)</f>
        <v>0</v>
      </c>
      <c r="F135" s="44">
        <f>IF(('Distances (TRPs)'!B16+'Distances (TRPs)'!C16)&gt;0,'Distances (TRPs)'!C16-'Distances (TRPs)'!$C$5,)</f>
        <v>0</v>
      </c>
      <c r="G135" s="44" t="e">
        <f t="shared" si="17"/>
        <v>#DIV/0!</v>
      </c>
      <c r="H135" s="48" t="e">
        <f t="shared" si="18"/>
        <v>#DIV/0!</v>
      </c>
      <c r="I135" s="44"/>
      <c r="J135" s="44" t="s">
        <v>181</v>
      </c>
      <c r="K135" s="44"/>
      <c r="L135" s="44"/>
      <c r="M135" s="44"/>
      <c r="N135" s="44"/>
      <c r="O135" s="44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>
      <c r="A136" s="313">
        <f>IF(SUM('Distances (TRPs)'!B17+'Distances (TRPs)'!C17)&gt;0,ABS(VLOOKUP(D136,$I$137:$L$148,4)+ABS(G136))," ")</f>
        <v>252.38742215707617</v>
      </c>
      <c r="B136" s="46"/>
      <c r="C136" s="46">
        <f>IF(('Distances (TRPs)'!D17+'Distances (TRPs)'!E17+'Distances (TRPs)'!F17)&gt;0,IF($C$127+(360-A136)&gt;360,$C$127+(360-A136)-360,$C$127+(360-A136)),)</f>
        <v>203.2131419187487</v>
      </c>
      <c r="D136" s="47">
        <f t="shared" si="16"/>
        <v>7</v>
      </c>
      <c r="E136" s="44">
        <f>IF(('Distances (TRPs)'!B17+'Distances (TRPs)'!C17)&gt;0,'Distances (TRPs)'!B17-'Distances (TRPs)'!$B$5,)</f>
        <v>-315</v>
      </c>
      <c r="F136" s="44">
        <f>IF(('Distances (TRPs)'!B17+'Distances (TRPs)'!C17)&gt;0,'Distances (TRPs)'!C17-'Distances (TRPs)'!$C$5,)</f>
        <v>-100</v>
      </c>
      <c r="G136" s="44">
        <f t="shared" si="17"/>
        <v>17.61257784292383</v>
      </c>
      <c r="H136" s="48">
        <f t="shared" si="18"/>
        <v>-150</v>
      </c>
      <c r="I136" s="44" t="s">
        <v>180</v>
      </c>
      <c r="J136" s="44">
        <v>0</v>
      </c>
      <c r="K136" s="44">
        <v>12</v>
      </c>
      <c r="L136" s="44">
        <v>-90</v>
      </c>
      <c r="M136" s="44"/>
      <c r="N136" s="44">
        <v>0</v>
      </c>
      <c r="O136" s="44">
        <v>12</v>
      </c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>
      <c r="A137" s="313">
        <f>IF(SUM('Distances (TRPs)'!B18+'Distances (TRPs)'!C18)&gt;0,ABS(VLOOKUP(D137,$I$137:$L$148,4)+ABS(G137))," ")</f>
        <v>242.95521068429463</v>
      </c>
      <c r="B137" s="46"/>
      <c r="C137" s="46">
        <f>IF(('Distances (TRPs)'!D18+'Distances (TRPs)'!E18+'Distances (TRPs)'!F18)&gt;0,IF($C$127+(360-A137)&gt;360,$C$127+(360-A137)-360,$C$127+(360-A137)),)</f>
        <v>212.64535339153025</v>
      </c>
      <c r="D137" s="47">
        <f t="shared" si="16"/>
        <v>7</v>
      </c>
      <c r="E137" s="44">
        <f>IF(('Distances (TRPs)'!B18+'Distances (TRPs)'!C18)&gt;0,'Distances (TRPs)'!B18-'Distances (TRPs)'!$B$5,)</f>
        <v>-333</v>
      </c>
      <c r="F137" s="44">
        <f>IF(('Distances (TRPs)'!B18+'Distances (TRPs)'!C18)&gt;0,'Distances (TRPs)'!C18-'Distances (TRPs)'!$C$5,)</f>
        <v>-170</v>
      </c>
      <c r="G137" s="44">
        <f t="shared" si="17"/>
        <v>27.04478931570537</v>
      </c>
      <c r="H137" s="48">
        <f t="shared" si="18"/>
        <v>-150</v>
      </c>
      <c r="I137" s="44">
        <v>1</v>
      </c>
      <c r="J137" s="44">
        <v>30</v>
      </c>
      <c r="K137" s="44">
        <v>1</v>
      </c>
      <c r="L137" s="44">
        <v>-90</v>
      </c>
      <c r="M137" s="44"/>
      <c r="N137" s="44">
        <v>15</v>
      </c>
      <c r="O137" s="44">
        <v>1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>
      <c r="A138" s="313">
        <f>IF(SUM('Distances (TRPs)'!B19+'Distances (TRPs)'!C19)&gt;0,ABS(VLOOKUP(D138,$I$137:$L$148,4)+ABS(G138))," ")</f>
        <v>229.52095789958142</v>
      </c>
      <c r="B138" s="46"/>
      <c r="C138" s="46">
        <f>IF(('Distances (TRPs)'!D19+'Distances (TRPs)'!E19+'Distances (TRPs)'!F19)&gt;0,IF($C$127+(360-A138)&gt;360,$C$127+(360-A138)-360,$C$127+(360-A138)),)</f>
        <v>226.07960617624346</v>
      </c>
      <c r="D138" s="47">
        <f t="shared" si="16"/>
        <v>7</v>
      </c>
      <c r="E138" s="44">
        <f>IF(('Distances (TRPs)'!B19+'Distances (TRPs)'!C19)&gt;0,'Distances (TRPs)'!B19-'Distances (TRPs)'!$B$5,)</f>
        <v>-348</v>
      </c>
      <c r="F138" s="44">
        <f>IF(('Distances (TRPs)'!B19+'Distances (TRPs)'!C19)&gt;0,'Distances (TRPs)'!C19-'Distances (TRPs)'!$C$5,)</f>
        <v>-297</v>
      </c>
      <c r="G138" s="44">
        <f t="shared" si="17"/>
        <v>40.479042100418575</v>
      </c>
      <c r="H138" s="48">
        <f t="shared" si="18"/>
        <v>-150</v>
      </c>
      <c r="I138" s="44">
        <v>2</v>
      </c>
      <c r="J138" s="44">
        <v>60</v>
      </c>
      <c r="K138" s="44">
        <v>2</v>
      </c>
      <c r="L138" s="44">
        <v>-90</v>
      </c>
      <c r="M138" s="44"/>
      <c r="N138" s="44">
        <v>45</v>
      </c>
      <c r="O138" s="44">
        <v>2</v>
      </c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>
      <c r="A139" s="313">
        <f>IF(SUM('Distances (TRPs)'!B20+'Distances (TRPs)'!C20)&gt;0,ABS(VLOOKUP(D139,$I$137:$L$148,4)+ABS(G139))," ")</f>
        <v>229.52420962592356</v>
      </c>
      <c r="B139" s="46"/>
      <c r="C139" s="46">
        <f>IF(('Distances (TRPs)'!D20+'Distances (TRPs)'!E20+'Distances (TRPs)'!F20)&gt;0,IF($C$127+(360-A139)&gt;360,$C$127+(360-A139)-360,$C$127+(360-A139)),)</f>
        <v>226.07635444990132</v>
      </c>
      <c r="D139" s="47">
        <f t="shared" si="16"/>
        <v>7</v>
      </c>
      <c r="E139" s="44">
        <f>IF(('Distances (TRPs)'!B20+'Distances (TRPs)'!C20)&gt;0,'Distances (TRPs)'!B20-'Distances (TRPs)'!$B$5,)</f>
        <v>-791</v>
      </c>
      <c r="F139" s="44">
        <f>IF(('Distances (TRPs)'!B20+'Distances (TRPs)'!C20)&gt;0,'Distances (TRPs)'!C20-'Distances (TRPs)'!$C$5,)</f>
        <v>-675</v>
      </c>
      <c r="G139" s="44">
        <f t="shared" si="17"/>
        <v>40.47579037407643</v>
      </c>
      <c r="H139" s="48">
        <f t="shared" si="18"/>
        <v>-150</v>
      </c>
      <c r="I139" s="44">
        <v>3</v>
      </c>
      <c r="J139" s="44">
        <v>90</v>
      </c>
      <c r="K139" s="44">
        <v>3</v>
      </c>
      <c r="L139" s="44">
        <v>90</v>
      </c>
      <c r="M139" s="44"/>
      <c r="N139" s="44">
        <v>75</v>
      </c>
      <c r="O139" s="44">
        <v>3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>
      <c r="A140" s="313">
        <f>IF(SUM('Distances (TRPs)'!B21+'Distances (TRPs)'!C21)&gt;0,ABS(VLOOKUP(D140,$I$137:$L$148,4)+ABS(G140))," ")</f>
        <v>221.0090869015702</v>
      </c>
      <c r="B140" s="46"/>
      <c r="C140" s="46">
        <f>IF(('Distances (TRPs)'!D21+'Distances (TRPs)'!E21+'Distances (TRPs)'!F21)&gt;0,IF($C$127+(360-A140)&gt;360,$C$127+(360-A140)-360,$C$127+(360-A140)),)</f>
        <v>234.59147717425466</v>
      </c>
      <c r="D140" s="47">
        <f t="shared" si="16"/>
        <v>8</v>
      </c>
      <c r="E140" s="44">
        <f>IF(('Distances (TRPs)'!B21+'Distances (TRPs)'!C21)&gt;0,'Distances (TRPs)'!B21-'Distances (TRPs)'!$B$5,)</f>
        <v>-40</v>
      </c>
      <c r="F140" s="44">
        <f>IF(('Distances (TRPs)'!B21+'Distances (TRPs)'!C21)&gt;0,'Distances (TRPs)'!C21-'Distances (TRPs)'!$C$5,)</f>
        <v>-46</v>
      </c>
      <c r="G140" s="44">
        <f t="shared" si="17"/>
        <v>48.99091309842978</v>
      </c>
      <c r="H140" s="48">
        <f t="shared" si="18"/>
        <v>-180</v>
      </c>
      <c r="I140" s="44">
        <v>4</v>
      </c>
      <c r="J140" s="44">
        <v>120</v>
      </c>
      <c r="K140" s="44">
        <v>4</v>
      </c>
      <c r="L140" s="44">
        <v>90</v>
      </c>
      <c r="M140" s="44"/>
      <c r="N140" s="44">
        <v>105</v>
      </c>
      <c r="O140" s="44">
        <v>4</v>
      </c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>
      <c r="A141" s="313">
        <f>IF(SUM('Distances (TRPs)'!B22+'Distances (TRPs)'!C22)&gt;0,ABS(VLOOKUP(D141,$I$137:$L$148,4)+ABS(G141))," ")</f>
        <v>224.52649194126508</v>
      </c>
      <c r="B141" s="46"/>
      <c r="C141" s="46">
        <f>IF(('Distances (TRPs)'!D22+'Distances (TRPs)'!E22+'Distances (TRPs)'!F22)&gt;0,IF($C$127+(360-A141)&gt;360,$C$127+(360-A141)-360,$C$127+(360-A141)),)</f>
        <v>231.0740721345598</v>
      </c>
      <c r="D141" s="47">
        <f t="shared" si="16"/>
        <v>8</v>
      </c>
      <c r="E141" s="44">
        <f>IF(('Distances (TRPs)'!B22+'Distances (TRPs)'!C22)&gt;0,'Distances (TRPs)'!B22-'Distances (TRPs)'!$B$5,)</f>
        <v>-60</v>
      </c>
      <c r="F141" s="44">
        <f>IF(('Distances (TRPs)'!B22+'Distances (TRPs)'!C22)&gt;0,'Distances (TRPs)'!C22-'Distances (TRPs)'!$C$5,)</f>
        <v>-61</v>
      </c>
      <c r="G141" s="44">
        <f t="shared" si="17"/>
        <v>45.47350805873493</v>
      </c>
      <c r="H141" s="48">
        <f t="shared" si="18"/>
        <v>-180</v>
      </c>
      <c r="I141" s="44">
        <v>5</v>
      </c>
      <c r="J141" s="44">
        <v>150</v>
      </c>
      <c r="K141" s="44">
        <v>5</v>
      </c>
      <c r="L141" s="44">
        <v>90</v>
      </c>
      <c r="M141" s="44"/>
      <c r="N141" s="44">
        <v>135</v>
      </c>
      <c r="O141" s="44">
        <v>5</v>
      </c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>
      <c r="A142" s="313" t="str">
        <f>IF(SUM('Distances (TRPs)'!B23+'Distances (TRPs)'!C23)&gt;0,ABS(VLOOKUP(D142,$I$137:$L$148,4)+ABS(G142))," ")</f>
        <v> </v>
      </c>
      <c r="B142" s="46"/>
      <c r="C142" s="46">
        <f>IF(('Distances (TRPs)'!D23+'Distances (TRPs)'!E23+'Distances (TRPs)'!F23)&gt;0,IF($C$127+(360-A142)&gt;360,$C$127+(360-A142)-360,$C$127+(360-A142)),)</f>
        <v>0</v>
      </c>
      <c r="D142" s="47" t="e">
        <f t="shared" si="16"/>
        <v>#DIV/0!</v>
      </c>
      <c r="E142" s="44">
        <f>IF(('Distances (TRPs)'!B23+'Distances (TRPs)'!C23)&gt;0,'Distances (TRPs)'!B23-'Distances (TRPs)'!$B$5,)</f>
        <v>0</v>
      </c>
      <c r="F142" s="44">
        <f>IF(('Distances (TRPs)'!B23+'Distances (TRPs)'!C23)&gt;0,'Distances (TRPs)'!C23-'Distances (TRPs)'!$C$5,)</f>
        <v>0</v>
      </c>
      <c r="G142" s="44" t="e">
        <f t="shared" si="17"/>
        <v>#DIV/0!</v>
      </c>
      <c r="H142" s="48" t="e">
        <f t="shared" si="18"/>
        <v>#DIV/0!</v>
      </c>
      <c r="I142" s="44">
        <v>6</v>
      </c>
      <c r="J142" s="44">
        <v>180</v>
      </c>
      <c r="K142" s="44">
        <v>6</v>
      </c>
      <c r="L142" s="44">
        <v>-270</v>
      </c>
      <c r="M142" s="44"/>
      <c r="N142" s="44">
        <v>165</v>
      </c>
      <c r="O142" s="44">
        <v>6</v>
      </c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>
      <c r="A143" s="313" t="str">
        <f>IF(SUM('Distances (TRPs)'!B24+'Distances (TRPs)'!C24)&gt;0,ABS(VLOOKUP(D143,$I$137:$L$148,4)+ABS(G143))," ")</f>
        <v> </v>
      </c>
      <c r="B143" s="46"/>
      <c r="C143" s="46">
        <f>IF(('Distances (TRPs)'!D24+'Distances (TRPs)'!E24+'Distances (TRPs)'!F24)&gt;0,IF($C$127+(360-A143)&gt;360,$C$127+(360-A143)-360,$C$127+(360-A143)),)</f>
        <v>0</v>
      </c>
      <c r="D143" s="47" t="e">
        <f t="shared" si="16"/>
        <v>#DIV/0!</v>
      </c>
      <c r="E143" s="44">
        <f>IF(('Distances (TRPs)'!B24+'Distances (TRPs)'!C24)&gt;0,'Distances (TRPs)'!B24-'Distances (TRPs)'!$B$5,)</f>
        <v>0</v>
      </c>
      <c r="F143" s="44">
        <f>IF(('Distances (TRPs)'!B24+'Distances (TRPs)'!C24)&gt;0,'Distances (TRPs)'!C24-'Distances (TRPs)'!$C$5,)</f>
        <v>0</v>
      </c>
      <c r="G143" s="44" t="e">
        <f t="shared" si="17"/>
        <v>#DIV/0!</v>
      </c>
      <c r="H143" s="48" t="e">
        <f t="shared" si="18"/>
        <v>#DIV/0!</v>
      </c>
      <c r="I143" s="44">
        <v>7</v>
      </c>
      <c r="J143" s="44">
        <v>210</v>
      </c>
      <c r="K143" s="44">
        <v>7</v>
      </c>
      <c r="L143" s="44">
        <v>-270</v>
      </c>
      <c r="M143" s="44"/>
      <c r="N143" s="44">
        <v>195</v>
      </c>
      <c r="O143" s="44">
        <v>7</v>
      </c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>
      <c r="A144" s="313" t="str">
        <f>IF(SUM('Distances (TRPs)'!B25+'Distances (TRPs)'!C25)&gt;0,ABS(VLOOKUP(D144,$I$137:$L$148,4)+ABS(G144))," ")</f>
        <v> </v>
      </c>
      <c r="B144" s="46"/>
      <c r="C144" s="46">
        <f>IF(('Distances (TRPs)'!D25+'Distances (TRPs)'!E25+'Distances (TRPs)'!F25)&gt;0,IF($C$127+(360-A144)&gt;360,$C$127+(360-A144)-360,$C$127+(360-A144)),)</f>
        <v>0</v>
      </c>
      <c r="D144" s="47" t="e">
        <f t="shared" si="16"/>
        <v>#DIV/0!</v>
      </c>
      <c r="E144" s="44">
        <f>IF(('Distances (TRPs)'!B25+'Distances (TRPs)'!C25)&gt;0,'Distances (TRPs)'!B25-'Distances (TRPs)'!$B$5,)</f>
        <v>0</v>
      </c>
      <c r="F144" s="44">
        <f>IF(('Distances (TRPs)'!B25+'Distances (TRPs)'!C25)&gt;0,'Distances (TRPs)'!C25-'Distances (TRPs)'!$C$5,)</f>
        <v>0</v>
      </c>
      <c r="G144" s="44" t="e">
        <f t="shared" si="17"/>
        <v>#DIV/0!</v>
      </c>
      <c r="H144" s="48" t="e">
        <f t="shared" si="18"/>
        <v>#DIV/0!</v>
      </c>
      <c r="I144" s="44">
        <v>8</v>
      </c>
      <c r="J144" s="44">
        <v>240</v>
      </c>
      <c r="K144" s="44">
        <v>8</v>
      </c>
      <c r="L144" s="44">
        <v>-270</v>
      </c>
      <c r="M144" s="44"/>
      <c r="N144" s="44">
        <v>225</v>
      </c>
      <c r="O144" s="44">
        <v>8</v>
      </c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>
      <c r="A145" s="313" t="str">
        <f>IF(SUM('Distances (TRPs)'!B26+'Distances (TRPs)'!C26)&gt;0,ABS(VLOOKUP(D145,$I$137:$L$148,4)+ABS(G145))," ")</f>
        <v> </v>
      </c>
      <c r="B145" s="46"/>
      <c r="C145" s="46">
        <f>IF(('Distances (TRPs)'!D26+'Distances (TRPs)'!E26+'Distances (TRPs)'!F26)&gt;0,IF($C$127+(360-A145)&gt;360,$C$127+(360-A145)-360,$C$127+(360-A145)),)</f>
        <v>0</v>
      </c>
      <c r="D145" s="47" t="e">
        <f t="shared" si="16"/>
        <v>#DIV/0!</v>
      </c>
      <c r="E145" s="44">
        <f>IF(('Distances (TRPs)'!B26+'Distances (TRPs)'!C26)&gt;0,'Distances (TRPs)'!B26-'Distances (TRPs)'!$B$5,)</f>
        <v>0</v>
      </c>
      <c r="F145" s="44">
        <f>IF(('Distances (TRPs)'!B26+'Distances (TRPs)'!C26)&gt;0,'Distances (TRPs)'!C26-'Distances (TRPs)'!$C$5,)</f>
        <v>0</v>
      </c>
      <c r="G145" s="44" t="e">
        <f t="shared" si="17"/>
        <v>#DIV/0!</v>
      </c>
      <c r="H145" s="48" t="e">
        <f t="shared" si="18"/>
        <v>#DIV/0!</v>
      </c>
      <c r="I145" s="44">
        <v>9</v>
      </c>
      <c r="J145" s="44">
        <v>270</v>
      </c>
      <c r="K145" s="44">
        <v>9</v>
      </c>
      <c r="L145" s="44">
        <v>270</v>
      </c>
      <c r="M145" s="44"/>
      <c r="N145" s="44">
        <v>255</v>
      </c>
      <c r="O145" s="44">
        <v>9</v>
      </c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2.75">
      <c r="A146" s="313" t="str">
        <f>IF(SUM('Distances (TRPs)'!B27+'Distances (TRPs)'!C27)&gt;0,ABS(VLOOKUP(D146,$I$137:$L$148,4)+ABS(G146))," ")</f>
        <v> </v>
      </c>
      <c r="B146" s="46"/>
      <c r="C146" s="46">
        <f>IF(('Distances (TRPs)'!D27+'Distances (TRPs)'!E27+'Distances (TRPs)'!F27)&gt;0,IF($C$127+(360-A146)&gt;360,$C$127+(360-A146)-360,$C$127+(360-A146)),)</f>
        <v>0</v>
      </c>
      <c r="D146" s="47" t="e">
        <f t="shared" si="16"/>
        <v>#DIV/0!</v>
      </c>
      <c r="E146" s="44">
        <f>IF(('Distances (TRPs)'!B27+'Distances (TRPs)'!C27)&gt;0,'Distances (TRPs)'!B27-'Distances (TRPs)'!$B$5,)</f>
        <v>0</v>
      </c>
      <c r="F146" s="44">
        <f>IF(('Distances (TRPs)'!B27+'Distances (TRPs)'!C27)&gt;0,'Distances (TRPs)'!C27-'Distances (TRPs)'!$C$5,)</f>
        <v>0</v>
      </c>
      <c r="G146" s="44" t="e">
        <f t="shared" si="17"/>
        <v>#DIV/0!</v>
      </c>
      <c r="H146" s="48" t="e">
        <f t="shared" si="18"/>
        <v>#DIV/0!</v>
      </c>
      <c r="I146" s="44">
        <v>10</v>
      </c>
      <c r="J146" s="44">
        <v>300</v>
      </c>
      <c r="K146" s="44">
        <v>10</v>
      </c>
      <c r="L146" s="44">
        <v>270</v>
      </c>
      <c r="M146" s="44"/>
      <c r="N146" s="44">
        <v>285</v>
      </c>
      <c r="O146" s="44">
        <v>10</v>
      </c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2.75">
      <c r="A147" s="313" t="str">
        <f>IF(SUM('Distances (TRPs)'!B28+'Distances (TRPs)'!C28)&gt;0,ABS(VLOOKUP(D147,$I$137:$L$148,4)+ABS(G147))," ")</f>
        <v> </v>
      </c>
      <c r="B147" s="46"/>
      <c r="C147" s="46">
        <f>IF(('Distances (TRPs)'!D28+'Distances (TRPs)'!E28+'Distances (TRPs)'!F28)&gt;0,IF($C$127+(360-A147)&gt;360,$C$127+(360-A147)-360,$C$127+(360-A147)),)</f>
        <v>0</v>
      </c>
      <c r="D147" s="47" t="e">
        <f t="shared" si="16"/>
        <v>#DIV/0!</v>
      </c>
      <c r="E147" s="44">
        <f>IF(('Distances (TRPs)'!B28+'Distances (TRPs)'!C28)&gt;0,'Distances (TRPs)'!B28-'Distances (TRPs)'!$B$5,)</f>
        <v>0</v>
      </c>
      <c r="F147" s="44">
        <f>IF(('Distances (TRPs)'!B28+'Distances (TRPs)'!C28)&gt;0,'Distances (TRPs)'!C28-'Distances (TRPs)'!$C$5,)</f>
        <v>0</v>
      </c>
      <c r="G147" s="44" t="e">
        <f t="shared" si="17"/>
        <v>#DIV/0!</v>
      </c>
      <c r="H147" s="48" t="e">
        <f t="shared" si="18"/>
        <v>#DIV/0!</v>
      </c>
      <c r="I147" s="44">
        <v>11</v>
      </c>
      <c r="J147" s="44">
        <v>330</v>
      </c>
      <c r="K147" s="44">
        <v>11</v>
      </c>
      <c r="L147" s="44">
        <v>270</v>
      </c>
      <c r="M147" s="44"/>
      <c r="N147" s="44">
        <v>315</v>
      </c>
      <c r="O147" s="44">
        <v>11</v>
      </c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>
      <c r="A148" s="313" t="str">
        <f>IF(SUM('Distances (TRPs)'!B29+'Distances (TRPs)'!C29)&gt;0,ABS(VLOOKUP(D148,$I$137:$L$148,4)+ABS(G148))," ")</f>
        <v> </v>
      </c>
      <c r="B148" s="46"/>
      <c r="C148" s="46">
        <f>IF(('Distances (TRPs)'!D29+'Distances (TRPs)'!E29+'Distances (TRPs)'!F29)&gt;0,IF($C$127+(360-A148)&gt;360,$C$127+(360-A148)-360,$C$127+(360-A148)),)</f>
        <v>0</v>
      </c>
      <c r="D148" s="47" t="e">
        <f t="shared" si="16"/>
        <v>#DIV/0!</v>
      </c>
      <c r="E148" s="44">
        <f>IF(('Distances (TRPs)'!B29+'Distances (TRPs)'!C29)&gt;0,'Distances (TRPs)'!B29-'Distances (TRPs)'!$B$5,)</f>
        <v>0</v>
      </c>
      <c r="F148" s="44">
        <f>IF(('Distances (TRPs)'!B29+'Distances (TRPs)'!C29)&gt;0,'Distances (TRPs)'!C29-'Distances (TRPs)'!$C$5,)</f>
        <v>0</v>
      </c>
      <c r="G148" s="44" t="e">
        <f t="shared" si="17"/>
        <v>#DIV/0!</v>
      </c>
      <c r="H148" s="48" t="e">
        <f t="shared" si="18"/>
        <v>#DIV/0!</v>
      </c>
      <c r="I148" s="44">
        <v>12</v>
      </c>
      <c r="J148" s="44">
        <v>360</v>
      </c>
      <c r="K148" s="44">
        <v>12</v>
      </c>
      <c r="L148" s="44">
        <v>-90</v>
      </c>
      <c r="M148" s="44"/>
      <c r="N148" s="44">
        <v>345</v>
      </c>
      <c r="O148" s="44">
        <v>12</v>
      </c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>
      <c r="A149" s="313" t="str">
        <f>IF(SUM('Distances (TRPs)'!B30+'Distances (TRPs)'!C30)&gt;0,ABS(VLOOKUP(D149,$I$137:$L$148,4)+ABS(G149))," ")</f>
        <v> </v>
      </c>
      <c r="B149" s="46"/>
      <c r="C149" s="46">
        <f>IF(('Distances (TRPs)'!D30+'Distances (TRPs)'!E30+'Distances (TRPs)'!F30)&gt;0,IF($C$127+(360-A149)&gt;360,$C$127+(360-A149)-360,$C$127+(360-A149)),)</f>
        <v>0</v>
      </c>
      <c r="D149" s="47" t="e">
        <f t="shared" si="16"/>
        <v>#DIV/0!</v>
      </c>
      <c r="E149" s="44">
        <f>IF(('Distances (TRPs)'!B30+'Distances (TRPs)'!C30)&gt;0,'Distances (TRPs)'!B30-'Distances (TRPs)'!$B$5,)</f>
        <v>0</v>
      </c>
      <c r="F149" s="44">
        <f>IF(('Distances (TRPs)'!B30+'Distances (TRPs)'!C30)&gt;0,'Distances (TRPs)'!C30-'Distances (TRPs)'!$C$5,)</f>
        <v>0</v>
      </c>
      <c r="G149" s="44" t="e">
        <f t="shared" si="17"/>
        <v>#DIV/0!</v>
      </c>
      <c r="H149" s="48" t="e">
        <f t="shared" si="18"/>
        <v>#DIV/0!</v>
      </c>
      <c r="I149" s="44">
        <v>0</v>
      </c>
      <c r="J149" s="44" t="s">
        <v>180</v>
      </c>
      <c r="K149" s="44" t="s">
        <v>180</v>
      </c>
      <c r="L149" s="44"/>
      <c r="M149" s="44"/>
      <c r="N149" s="44"/>
      <c r="O149" s="44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>
      <c r="A150" s="313" t="str">
        <f>IF(SUM('Distances (TRPs)'!B31+'Distances (TRPs)'!C31)&gt;0,ABS(VLOOKUP(D150,$I$137:$L$148,4)+ABS(G150))," ")</f>
        <v> </v>
      </c>
      <c r="B150" s="46"/>
      <c r="C150" s="46">
        <f>IF(('Distances (TRPs)'!D31+'Distances (TRPs)'!E31+'Distances (TRPs)'!F31)&gt;0,IF($C$127+(360-A150)&gt;360,$C$127+(360-A150)-360,$C$127+(360-A150)),)</f>
        <v>0</v>
      </c>
      <c r="D150" s="47" t="e">
        <f aca="true" t="shared" si="19" ref="D150:D156">IF(E150&lt;0,IF(F150&gt;0,VLOOKUP(ABS(G150),$I$127:$M$131,2),VLOOKUP(ABS(G150),$I$127:$M$131,3)),IF(F150&gt;0,VLOOKUP(ABS(G150),$I$127:$M$131,4),VLOOKUP(ABS(G150),$I$127:$M$131,5)))</f>
        <v>#DIV/0!</v>
      </c>
      <c r="E150" s="44">
        <f>IF(('Distances (TRPs)'!B31+'Distances (TRPs)'!C31)&gt;0,'Distances (TRPs)'!B31-'Distances (TRPs)'!$B$5,)</f>
        <v>0</v>
      </c>
      <c r="F150" s="44">
        <f>IF(('Distances (TRPs)'!B31+'Distances (TRPs)'!C31)&gt;0,'Distances (TRPs)'!C31-'Distances (TRPs)'!$C$5,)</f>
        <v>0</v>
      </c>
      <c r="G150" s="44" t="e">
        <f aca="true" t="shared" si="20" ref="G150:G156">DEGREES(ATAN(F150/E150))</f>
        <v>#DIV/0!</v>
      </c>
      <c r="H150" s="48" t="e">
        <f aca="true" t="shared" si="21" ref="H150:H156">($H$127-VLOOKUP(D150,$I$137:$J$148,2))</f>
        <v>#DIV/0!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>
      <c r="A151" s="313" t="str">
        <f>IF(SUM('Distances (TRPs)'!B32+'Distances (TRPs)'!C32)&gt;0,ABS(VLOOKUP(D151,$I$137:$L$148,4)+ABS(G151))," ")</f>
        <v> </v>
      </c>
      <c r="B151" s="46"/>
      <c r="C151" s="46">
        <f>IF(('Distances (TRPs)'!D32+'Distances (TRPs)'!E32+'Distances (TRPs)'!F32)&gt;0,IF($C$127+(360-A151)&gt;360,$C$127+(360-A151)-360,$C$127+(360-A151)),)</f>
        <v>0</v>
      </c>
      <c r="D151" s="47" t="e">
        <f t="shared" si="19"/>
        <v>#DIV/0!</v>
      </c>
      <c r="E151" s="44">
        <f>IF(('Distances (TRPs)'!B32+'Distances (TRPs)'!C32)&gt;0,'Distances (TRPs)'!B32-'Distances (TRPs)'!$B$5,)</f>
        <v>0</v>
      </c>
      <c r="F151" s="44">
        <f>IF(('Distances (TRPs)'!B32+'Distances (TRPs)'!C32)&gt;0,'Distances (TRPs)'!C32-'Distances (TRPs)'!$C$5,)</f>
        <v>0</v>
      </c>
      <c r="G151" s="44" t="e">
        <f t="shared" si="20"/>
        <v>#DIV/0!</v>
      </c>
      <c r="H151" s="48" t="e">
        <f t="shared" si="21"/>
        <v>#DIV/0!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2.75">
      <c r="A152" s="313" t="str">
        <f>IF(SUM('Distances (TRPs)'!B33+'Distances (TRPs)'!C33)&gt;0,ABS(VLOOKUP(D152,$I$137:$L$148,4)+ABS(G152))," ")</f>
        <v> </v>
      </c>
      <c r="B152" s="46"/>
      <c r="C152" s="46">
        <f>IF(('Distances (TRPs)'!D33+'Distances (TRPs)'!E33+'Distances (TRPs)'!F33)&gt;0,IF($C$127+(360-A152)&gt;360,$C$127+(360-A152)-360,$C$127+(360-A152)),)</f>
        <v>0</v>
      </c>
      <c r="D152" s="47" t="e">
        <f t="shared" si="19"/>
        <v>#DIV/0!</v>
      </c>
      <c r="E152" s="44">
        <f>IF(('Distances (TRPs)'!B33+'Distances (TRPs)'!C33)&gt;0,'Distances (TRPs)'!B33-'Distances (TRPs)'!$B$5,)</f>
        <v>0</v>
      </c>
      <c r="F152" s="44">
        <f>IF(('Distances (TRPs)'!B33+'Distances (TRPs)'!C33)&gt;0,'Distances (TRPs)'!C33-'Distances (TRPs)'!$C$5,)</f>
        <v>0</v>
      </c>
      <c r="G152" s="44" t="e">
        <f t="shared" si="20"/>
        <v>#DIV/0!</v>
      </c>
      <c r="H152" s="48" t="e">
        <f t="shared" si="21"/>
        <v>#DIV/0!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>
      <c r="A153" s="313" t="str">
        <f>IF(SUM('Distances (TRPs)'!B34+'Distances (TRPs)'!C34)&gt;0,ABS(VLOOKUP(D153,$I$137:$L$148,4)+ABS(G153))," ")</f>
        <v> </v>
      </c>
      <c r="B153" s="46"/>
      <c r="C153" s="46">
        <f>IF(('Distances (TRPs)'!D34+'Distances (TRPs)'!E34+'Distances (TRPs)'!F34)&gt;0,IF($C$127+(360-A153)&gt;360,$C$127+(360-A153)-360,$C$127+(360-A153)),)</f>
        <v>0</v>
      </c>
      <c r="D153" s="47" t="e">
        <f t="shared" si="19"/>
        <v>#DIV/0!</v>
      </c>
      <c r="E153" s="44">
        <f>IF(('Distances (TRPs)'!B34+'Distances (TRPs)'!C34)&gt;0,'Distances (TRPs)'!B34-'Distances (TRPs)'!$B$5,)</f>
        <v>0</v>
      </c>
      <c r="F153" s="44">
        <f>IF(('Distances (TRPs)'!B34+'Distances (TRPs)'!C34)&gt;0,'Distances (TRPs)'!C34-'Distances (TRPs)'!$C$5,)</f>
        <v>0</v>
      </c>
      <c r="G153" s="44" t="e">
        <f t="shared" si="20"/>
        <v>#DIV/0!</v>
      </c>
      <c r="H153" s="48" t="e">
        <f t="shared" si="21"/>
        <v>#DIV/0!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2.75">
      <c r="A154" s="313" t="str">
        <f>IF(SUM('Distances (TRPs)'!B35+'Distances (TRPs)'!C35)&gt;0,ABS(VLOOKUP(D154,$I$137:$L$148,4)+ABS(G154))," ")</f>
        <v> </v>
      </c>
      <c r="B154" s="46"/>
      <c r="C154" s="46">
        <f>IF(('Distances (TRPs)'!D35+'Distances (TRPs)'!E35+'Distances (TRPs)'!F35)&gt;0,IF($C$127+(360-A154)&gt;360,$C$127+(360-A154)-360,$C$127+(360-A154)),)</f>
        <v>0</v>
      </c>
      <c r="D154" s="47" t="e">
        <f t="shared" si="19"/>
        <v>#DIV/0!</v>
      </c>
      <c r="E154" s="44">
        <f>IF(('Distances (TRPs)'!B35+'Distances (TRPs)'!C35)&gt;0,'Distances (TRPs)'!B35-'Distances (TRPs)'!$B$5,)</f>
        <v>0</v>
      </c>
      <c r="F154" s="44">
        <f>IF(('Distances (TRPs)'!B35+'Distances (TRPs)'!C35)&gt;0,'Distances (TRPs)'!C35-'Distances (TRPs)'!$C$5,)</f>
        <v>0</v>
      </c>
      <c r="G154" s="44" t="e">
        <f t="shared" si="20"/>
        <v>#DIV/0!</v>
      </c>
      <c r="H154" s="48" t="e">
        <f t="shared" si="21"/>
        <v>#DIV/0!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>
      <c r="A155" s="313">
        <f>IF(SUM('Distances (TRPs)'!B36+'Distances (TRPs)'!C36)&gt;0,ABS(VLOOKUP(D155,$I$137:$L$148,4)+ABS(G155))," ")</f>
        <v>224.52649194126508</v>
      </c>
      <c r="B155" s="46"/>
      <c r="C155" s="46">
        <f>IF(('Distances (TRPs)'!D36+'Distances (TRPs)'!E36+'Distances (TRPs)'!F36)&gt;0,IF($C$127+(360-A155)&gt;360,$C$127+(360-A155)-360,$C$127+(360-A155)),)</f>
        <v>231.0740721345598</v>
      </c>
      <c r="D155" s="47">
        <f t="shared" si="19"/>
        <v>8</v>
      </c>
      <c r="E155" s="44">
        <f>IF(('Distances (TRPs)'!B36+'Distances (TRPs)'!C36)&gt;0,'Distances (TRPs)'!B36-'Distances (TRPs)'!$B$5,)</f>
        <v>-60</v>
      </c>
      <c r="F155" s="44">
        <f>IF(('Distances (TRPs)'!B36+'Distances (TRPs)'!C36)&gt;0,'Distances (TRPs)'!C36-'Distances (TRPs)'!$C$5,)</f>
        <v>-61</v>
      </c>
      <c r="G155" s="44">
        <f t="shared" si="20"/>
        <v>45.47350805873493</v>
      </c>
      <c r="H155" s="48">
        <f t="shared" si="21"/>
        <v>-180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>
      <c r="A156" s="313">
        <f>IF(SUM('Distances (TRPs)'!B37+'Distances (TRPs)'!C37)&gt;0,ABS(VLOOKUP(D156,$I$137:$L$148,4)+ABS(G156))," ")</f>
        <v>224.52649194126508</v>
      </c>
      <c r="B156" s="46"/>
      <c r="C156" s="46">
        <f>IF(('Distances (TRPs)'!D37+'Distances (TRPs)'!E37+'Distances (TRPs)'!F37)&gt;0,IF($C$127+(360-A156)&gt;360,$C$127+(360-A156)-360,$C$127+(360-A156)),)</f>
        <v>231.0740721345598</v>
      </c>
      <c r="D156" s="47">
        <f t="shared" si="19"/>
        <v>8</v>
      </c>
      <c r="E156" s="44">
        <f>IF(('Distances (TRPs)'!B37+'Distances (TRPs)'!C37)&gt;0,'Distances (TRPs)'!B37-'Distances (TRPs)'!$B$5,)</f>
        <v>-60</v>
      </c>
      <c r="F156" s="44">
        <f>IF(('Distances (TRPs)'!B37+'Distances (TRPs)'!C37)&gt;0,'Distances (TRPs)'!C37-'Distances (TRPs)'!$C$5,)</f>
        <v>-61</v>
      </c>
      <c r="G156" s="44">
        <f t="shared" si="20"/>
        <v>45.47350805873493</v>
      </c>
      <c r="H156" s="48">
        <f t="shared" si="21"/>
        <v>-180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2">
      <c r="A163" s="42" t="s">
        <v>245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2.75">
      <c r="A166" s="43"/>
      <c r="B166" s="43" t="s">
        <v>192</v>
      </c>
      <c r="C166" s="44"/>
      <c r="D166" s="44"/>
      <c r="E166" s="44"/>
      <c r="F166" s="44"/>
      <c r="G166" s="44"/>
      <c r="H166" s="44"/>
      <c r="I166" s="44"/>
      <c r="J166" s="44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2.75">
      <c r="A167" s="45"/>
      <c r="B167" s="45" t="s">
        <v>193</v>
      </c>
      <c r="C167" s="44"/>
      <c r="D167" s="44"/>
      <c r="E167" s="44"/>
      <c r="F167" s="44"/>
      <c r="G167" s="44"/>
      <c r="H167" s="44"/>
      <c r="I167" s="44"/>
      <c r="J167" s="44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>
      <c r="A168" s="45"/>
      <c r="B168" s="45" t="s">
        <v>194</v>
      </c>
      <c r="C168" s="44"/>
      <c r="D168" s="44"/>
      <c r="E168" s="44"/>
      <c r="F168" s="44"/>
      <c r="G168" s="44"/>
      <c r="H168" s="44"/>
      <c r="I168" s="44"/>
      <c r="J168" s="44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2.75">
      <c r="A169" s="46">
        <f>VLOOKUP('Distances (TRPs) KD Compass'!J8,D179:E190,2)</f>
        <v>180</v>
      </c>
      <c r="B169" s="46">
        <f>IF('Distances (TRPs) KD Compass'!B8+A169&gt;360,('Distances (TRPs) KD Compass'!B8+A169)-360,'Distances (TRPs) KD Compass'!B8+A169)</f>
        <v>114</v>
      </c>
      <c r="C169" s="44"/>
      <c r="D169" s="44"/>
      <c r="E169" s="55"/>
      <c r="F169" s="54"/>
      <c r="G169" s="48"/>
      <c r="H169" s="44"/>
      <c r="I169" s="44"/>
      <c r="J169" s="44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2.75">
      <c r="A170" s="46"/>
      <c r="B170" s="46">
        <f>IF(('Distances (TRPs) KD Compass'!D9+'Distances (TRPs) KD Compass'!E9+'Distances (TRPs) KD Compass'!F9)&gt;0,IF($B$169+(360-'Distances (TRPs) KD Compass'!B9)&gt;360,$B$169+(360-'Distances (TRPs) KD Compass'!B9)-360,$B$169+(360-'Distances (TRPs) KD Compass'!B9)),)</f>
        <v>23</v>
      </c>
      <c r="C170" s="44"/>
      <c r="D170" s="44"/>
      <c r="E170" s="44"/>
      <c r="F170" s="44"/>
      <c r="G170" s="44"/>
      <c r="H170" s="44"/>
      <c r="I170" s="44"/>
      <c r="J170" s="44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>
      <c r="A171" s="46"/>
      <c r="B171" s="46">
        <f>IF(('Distances (TRPs) KD Compass'!D10+'Distances (TRPs) KD Compass'!E10+'Distances (TRPs) KD Compass'!F10)&gt;0,IF($B$169+(360-'Distances (TRPs) KD Compass'!B10)&gt;360,$B$169+(360-'Distances (TRPs) KD Compass'!B10)-360,$B$169+(360-'Distances (TRPs) KD Compass'!B10)),)</f>
        <v>351</v>
      </c>
      <c r="C171" s="44"/>
      <c r="D171" s="44"/>
      <c r="E171" s="44"/>
      <c r="F171" s="44"/>
      <c r="G171" s="44"/>
      <c r="H171" s="44"/>
      <c r="I171" s="44"/>
      <c r="J171" s="44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2.75">
      <c r="A172" s="46"/>
      <c r="B172" s="46">
        <f>IF(('Distances (TRPs) KD Compass'!D11+'Distances (TRPs) KD Compass'!E11+'Distances (TRPs) KD Compass'!F11)&gt;0,IF($B$169+(360-'Distances (TRPs) KD Compass'!B11)&gt;360,$B$169+(360-'Distances (TRPs) KD Compass'!B11)-360,$B$169+(360-'Distances (TRPs) KD Compass'!B11)),)</f>
        <v>84</v>
      </c>
      <c r="C172" s="44"/>
      <c r="D172" s="44"/>
      <c r="E172" s="44"/>
      <c r="F172" s="44"/>
      <c r="G172" s="44"/>
      <c r="H172" s="44"/>
      <c r="I172" s="44"/>
      <c r="J172" s="44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2.75">
      <c r="A173" s="46"/>
      <c r="B173" s="46">
        <f>IF(('Distances (TRPs) KD Compass'!D12+'Distances (TRPs) KD Compass'!E12+'Distances (TRPs) KD Compass'!F12)&gt;0,IF($B$169+(360-'Distances (TRPs) KD Compass'!B12)&gt;360,$B$169+(360-'Distances (TRPs) KD Compass'!B12)-360,$B$169+(360-'Distances (TRPs) KD Compass'!B12)),)</f>
        <v>218</v>
      </c>
      <c r="C173" s="44"/>
      <c r="D173" s="44"/>
      <c r="E173" s="44"/>
      <c r="F173" s="44"/>
      <c r="G173" s="44"/>
      <c r="H173" s="44"/>
      <c r="I173" s="44"/>
      <c r="J173" s="44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>
      <c r="A174" s="46"/>
      <c r="B174" s="46">
        <f>IF(('Distances (TRPs) KD Compass'!D13+'Distances (TRPs) KD Compass'!E13+'Distances (TRPs) KD Compass'!F13)&gt;0,IF($B$169+(360-'Distances (TRPs) KD Compass'!B13)&gt;360,$B$169+(360-'Distances (TRPs) KD Compass'!B13)-360,$B$169+(360-'Distances (TRPs) KD Compass'!B13)),)</f>
        <v>276</v>
      </c>
      <c r="C174" s="44"/>
      <c r="D174" s="44"/>
      <c r="E174" s="44"/>
      <c r="F174" s="44"/>
      <c r="G174" s="44"/>
      <c r="H174" s="44"/>
      <c r="I174" s="44"/>
      <c r="J174" s="44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>
      <c r="A175" s="46"/>
      <c r="B175" s="46">
        <f>IF(('Distances (TRPs) KD Compass'!D14+'Distances (TRPs) KD Compass'!E14+'Distances (TRPs) KD Compass'!F14)&gt;0,IF($B$169+(360-'Distances (TRPs) KD Compass'!B14)&gt;360,$B$169+(360-'Distances (TRPs) KD Compass'!B14)-360,$B$169+(360-'Distances (TRPs) KD Compass'!B14)),)</f>
        <v>129</v>
      </c>
      <c r="C175" s="44"/>
      <c r="D175" s="44"/>
      <c r="E175" s="44"/>
      <c r="F175" s="44"/>
      <c r="G175" s="44"/>
      <c r="H175" s="44"/>
      <c r="I175" s="44"/>
      <c r="J175" s="44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>
      <c r="A176" s="46"/>
      <c r="B176" s="46">
        <f>IF(('Distances (TRPs) KD Compass'!D15+'Distances (TRPs) KD Compass'!E15+'Distances (TRPs) KD Compass'!F15)&gt;0,IF($B$169+(360-'Distances (TRPs) KD Compass'!B15)&gt;360,$B$169+(360-'Distances (TRPs) KD Compass'!B15)-360,$B$169+(360-'Distances (TRPs) KD Compass'!B15)),)</f>
        <v>204</v>
      </c>
      <c r="C176" s="44"/>
      <c r="D176" s="44"/>
      <c r="E176" s="44"/>
      <c r="F176" s="44"/>
      <c r="G176" s="44"/>
      <c r="H176" s="44"/>
      <c r="I176" s="44"/>
      <c r="J176" s="44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2.75">
      <c r="A177" s="46"/>
      <c r="B177" s="46">
        <f>IF(('Distances (TRPs) KD Compass'!D16+'Distances (TRPs) KD Compass'!E16+'Distances (TRPs) KD Compass'!F16)&gt;0,IF($B$169+(360-'Distances (TRPs) KD Compass'!B16)&gt;360,$B$169+(360-'Distances (TRPs) KD Compass'!B16)-360,$B$169+(360-'Distances (TRPs) KD Compass'!B16)),)</f>
        <v>69</v>
      </c>
      <c r="C177" s="44"/>
      <c r="D177" s="44"/>
      <c r="E177" s="44" t="s">
        <v>181</v>
      </c>
      <c r="F177" s="44"/>
      <c r="G177" s="44"/>
      <c r="H177" s="44"/>
      <c r="I177" s="44"/>
      <c r="J177" s="44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>
      <c r="A178" s="46"/>
      <c r="B178" s="46">
        <f>IF(('Distances (TRPs) KD Compass'!D17+'Distances (TRPs) KD Compass'!E17+'Distances (TRPs) KD Compass'!F17)&gt;0,IF($B$169+(360-'Distances (TRPs) KD Compass'!B17)&gt;360,$B$169+(360-'Distances (TRPs) KD Compass'!B17)-360,$B$169+(360-'Distances (TRPs) KD Compass'!B17)),)</f>
        <v>38</v>
      </c>
      <c r="C178" s="44"/>
      <c r="D178" s="44" t="s">
        <v>180</v>
      </c>
      <c r="E178" s="44">
        <v>0</v>
      </c>
      <c r="F178" s="44">
        <v>12</v>
      </c>
      <c r="G178" s="44">
        <v>-90</v>
      </c>
      <c r="H178" s="44"/>
      <c r="I178" s="44">
        <v>0</v>
      </c>
      <c r="J178" s="44">
        <v>12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2.75">
      <c r="A179" s="46"/>
      <c r="B179" s="46">
        <f>IF(('Distances (TRPs) KD Compass'!D18+'Distances (TRPs) KD Compass'!E18+'Distances (TRPs) KD Compass'!F18)&gt;0,IF($B$169+(360-'Distances (TRPs) KD Compass'!B18)&gt;360,$B$169+(360-'Distances (TRPs) KD Compass'!B18)-360,$B$169+(360-'Distances (TRPs) KD Compass'!B18)),)</f>
        <v>264</v>
      </c>
      <c r="C179" s="44"/>
      <c r="D179" s="44">
        <v>1</v>
      </c>
      <c r="E179" s="44">
        <v>30</v>
      </c>
      <c r="F179" s="44">
        <v>1</v>
      </c>
      <c r="G179" s="44">
        <v>-90</v>
      </c>
      <c r="H179" s="44"/>
      <c r="I179" s="44">
        <v>15</v>
      </c>
      <c r="J179" s="44">
        <v>1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>
      <c r="A180" s="46"/>
      <c r="B180" s="46">
        <f>IF(('Distances (TRPs) KD Compass'!D19+'Distances (TRPs) KD Compass'!E19+'Distances (TRPs) KD Compass'!F19)&gt;0,IF($B$169+(360-'Distances (TRPs) KD Compass'!B19)&gt;360,$B$169+(360-'Distances (TRPs) KD Compass'!B19)-360,$B$169+(360-'Distances (TRPs) KD Compass'!B19)),)</f>
        <v>231</v>
      </c>
      <c r="C180" s="44"/>
      <c r="D180" s="44">
        <v>2</v>
      </c>
      <c r="E180" s="44">
        <v>60</v>
      </c>
      <c r="F180" s="44">
        <v>2</v>
      </c>
      <c r="G180" s="44">
        <v>-90</v>
      </c>
      <c r="H180" s="44"/>
      <c r="I180" s="44">
        <v>45</v>
      </c>
      <c r="J180" s="44">
        <v>2</v>
      </c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2.75">
      <c r="A181" s="46"/>
      <c r="B181" s="46">
        <f>IF(('Distances (TRPs) KD Compass'!D20+'Distances (TRPs) KD Compass'!E20+'Distances (TRPs) KD Compass'!F20)&gt;0,IF($B$169+(360-'Distances (TRPs) KD Compass'!B20)&gt;360,$B$169+(360-'Distances (TRPs) KD Compass'!B20)-360,$B$169+(360-'Distances (TRPs) KD Compass'!B20)),)</f>
        <v>49</v>
      </c>
      <c r="C181" s="44"/>
      <c r="D181" s="44">
        <v>3</v>
      </c>
      <c r="E181" s="44">
        <v>90</v>
      </c>
      <c r="F181" s="44">
        <v>3</v>
      </c>
      <c r="G181" s="44">
        <v>90</v>
      </c>
      <c r="H181" s="44"/>
      <c r="I181" s="44">
        <v>75</v>
      </c>
      <c r="J181" s="44">
        <v>3</v>
      </c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2.75">
      <c r="A182" s="46"/>
      <c r="B182" s="46">
        <f>IF(('Distances (TRPs) KD Compass'!D21+'Distances (TRPs) KD Compass'!E21+'Distances (TRPs) KD Compass'!F21)&gt;0,IF($B$169+(360-'Distances (TRPs) KD Compass'!B21)&gt;360,$B$169+(360-'Distances (TRPs) KD Compass'!B21)-360,$B$169+(360-'Distances (TRPs) KD Compass'!B21)),)</f>
        <v>32</v>
      </c>
      <c r="C182" s="44"/>
      <c r="D182" s="44">
        <v>4</v>
      </c>
      <c r="E182" s="44">
        <v>120</v>
      </c>
      <c r="F182" s="44">
        <v>4</v>
      </c>
      <c r="G182" s="44">
        <v>90</v>
      </c>
      <c r="H182" s="44"/>
      <c r="I182" s="44">
        <v>105</v>
      </c>
      <c r="J182" s="44">
        <v>4</v>
      </c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>
      <c r="A183" s="46"/>
      <c r="B183" s="46">
        <f>IF(('Distances (TRPs) KD Compass'!D22+'Distances (TRPs) KD Compass'!E22+'Distances (TRPs) KD Compass'!F22)&gt;0,IF($B$169+(360-'Distances (TRPs) KD Compass'!B22)&gt;360,$B$169+(360-'Distances (TRPs) KD Compass'!B22)-360,$B$169+(360-'Distances (TRPs) KD Compass'!B22)),)</f>
        <v>112</v>
      </c>
      <c r="C183" s="44"/>
      <c r="D183" s="44">
        <v>5</v>
      </c>
      <c r="E183" s="44">
        <v>150</v>
      </c>
      <c r="F183" s="44">
        <v>5</v>
      </c>
      <c r="G183" s="44">
        <v>90</v>
      </c>
      <c r="H183" s="44"/>
      <c r="I183" s="44">
        <v>135</v>
      </c>
      <c r="J183" s="44">
        <v>5</v>
      </c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2.75">
      <c r="A184" s="46"/>
      <c r="B184" s="46">
        <f>IF(('Distances (TRPs) KD Compass'!D23+'Distances (TRPs) KD Compass'!E23+'Distances (TRPs) KD Compass'!F23)&gt;0,IF($B$169+(360-'Distances (TRPs) KD Compass'!B23)&gt;360,$B$169+(360-'Distances (TRPs) KD Compass'!B23)-360,$B$169+(360-'Distances (TRPs) KD Compass'!B23)),)</f>
        <v>0</v>
      </c>
      <c r="C184" s="44"/>
      <c r="D184" s="44">
        <v>6</v>
      </c>
      <c r="E184" s="44">
        <v>180</v>
      </c>
      <c r="F184" s="44">
        <v>6</v>
      </c>
      <c r="G184" s="44">
        <v>-270</v>
      </c>
      <c r="H184" s="44"/>
      <c r="I184" s="44">
        <v>165</v>
      </c>
      <c r="J184" s="44">
        <v>6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2.75">
      <c r="A185" s="46"/>
      <c r="B185" s="46">
        <f>IF(('Distances (TRPs) KD Compass'!D24+'Distances (TRPs) KD Compass'!E24+'Distances (TRPs) KD Compass'!F24)&gt;0,IF($B$169+(360-'Distances (TRPs) KD Compass'!B24)&gt;360,$B$169+(360-'Distances (TRPs) KD Compass'!B24)-360,$B$169+(360-'Distances (TRPs) KD Compass'!B24)),)</f>
        <v>0</v>
      </c>
      <c r="C185" s="44"/>
      <c r="D185" s="44">
        <v>7</v>
      </c>
      <c r="E185" s="44">
        <v>210</v>
      </c>
      <c r="F185" s="44">
        <v>7</v>
      </c>
      <c r="G185" s="44">
        <v>-270</v>
      </c>
      <c r="H185" s="44"/>
      <c r="I185" s="44">
        <v>195</v>
      </c>
      <c r="J185" s="44">
        <v>7</v>
      </c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2.75">
      <c r="A186" s="46"/>
      <c r="B186" s="46">
        <f>IF(('Distances (TRPs) KD Compass'!D25+'Distances (TRPs) KD Compass'!E25+'Distances (TRPs) KD Compass'!F25)&gt;0,IF($B$169+(360-'Distances (TRPs) KD Compass'!B25)&gt;360,$B$169+(360-'Distances (TRPs) KD Compass'!B25)-360,$B$169+(360-'Distances (TRPs) KD Compass'!B25)),)</f>
        <v>0</v>
      </c>
      <c r="C186" s="44"/>
      <c r="D186" s="44">
        <v>8</v>
      </c>
      <c r="E186" s="44">
        <v>240</v>
      </c>
      <c r="F186" s="44">
        <v>8</v>
      </c>
      <c r="G186" s="44">
        <v>-270</v>
      </c>
      <c r="H186" s="44"/>
      <c r="I186" s="44">
        <v>225</v>
      </c>
      <c r="J186" s="44">
        <v>8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2.75">
      <c r="A187" s="46"/>
      <c r="B187" s="46">
        <f>IF(('Distances (TRPs) KD Compass'!D26+'Distances (TRPs) KD Compass'!E26+'Distances (TRPs) KD Compass'!F26)&gt;0,IF($B$169+(360-'Distances (TRPs) KD Compass'!B26)&gt;360,$B$169+(360-'Distances (TRPs) KD Compass'!B26)-360,$B$169+(360-'Distances (TRPs) KD Compass'!B26)),)</f>
        <v>0</v>
      </c>
      <c r="C187" s="44"/>
      <c r="D187" s="44">
        <v>9</v>
      </c>
      <c r="E187" s="44">
        <v>270</v>
      </c>
      <c r="F187" s="44">
        <v>9</v>
      </c>
      <c r="G187" s="44">
        <v>270</v>
      </c>
      <c r="H187" s="44"/>
      <c r="I187" s="44">
        <v>255</v>
      </c>
      <c r="J187" s="44">
        <v>9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2.75">
      <c r="A188" s="46"/>
      <c r="B188" s="46">
        <f>IF(('Distances (TRPs) KD Compass'!D27+'Distances (TRPs) KD Compass'!E27+'Distances (TRPs) KD Compass'!F27)&gt;0,IF($B$169+(360-'Distances (TRPs) KD Compass'!B27)&gt;360,$B$169+(360-'Distances (TRPs) KD Compass'!B27)-360,$B$169+(360-'Distances (TRPs) KD Compass'!B27)),)</f>
        <v>0</v>
      </c>
      <c r="C188" s="44"/>
      <c r="D188" s="44">
        <v>10</v>
      </c>
      <c r="E188" s="44">
        <v>300</v>
      </c>
      <c r="F188" s="44">
        <v>10</v>
      </c>
      <c r="G188" s="44">
        <v>270</v>
      </c>
      <c r="H188" s="44"/>
      <c r="I188" s="44">
        <v>285</v>
      </c>
      <c r="J188" s="44">
        <v>10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2.75">
      <c r="A189" s="46"/>
      <c r="B189" s="46">
        <f>IF(('Distances (TRPs) KD Compass'!D28+'Distances (TRPs) KD Compass'!E28+'Distances (TRPs) KD Compass'!F28)&gt;0,IF($B$169+(360-'Distances (TRPs) KD Compass'!B28)&gt;360,$B$169+(360-'Distances (TRPs) KD Compass'!B28)-360,$B$169+(360-'Distances (TRPs) KD Compass'!B28)),)</f>
        <v>0</v>
      </c>
      <c r="C189" s="44"/>
      <c r="D189" s="44">
        <v>11</v>
      </c>
      <c r="E189" s="44">
        <v>330</v>
      </c>
      <c r="F189" s="44">
        <v>11</v>
      </c>
      <c r="G189" s="44">
        <v>270</v>
      </c>
      <c r="H189" s="44"/>
      <c r="I189" s="44">
        <v>315</v>
      </c>
      <c r="J189" s="44">
        <v>11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2.75">
      <c r="A190" s="46"/>
      <c r="B190" s="46">
        <f>IF(('Distances (TRPs) KD Compass'!D29+'Distances (TRPs) KD Compass'!E29+'Distances (TRPs) KD Compass'!F29)&gt;0,IF($B$169+(360-'Distances (TRPs) KD Compass'!B29)&gt;360,$B$169+(360-'Distances (TRPs) KD Compass'!B29)-360,$B$169+(360-'Distances (TRPs) KD Compass'!B29)),)</f>
        <v>0</v>
      </c>
      <c r="C190" s="44"/>
      <c r="D190" s="44">
        <v>12</v>
      </c>
      <c r="E190" s="44">
        <v>360</v>
      </c>
      <c r="F190" s="44">
        <v>12</v>
      </c>
      <c r="G190" s="44">
        <v>-90</v>
      </c>
      <c r="H190" s="44"/>
      <c r="I190" s="44">
        <v>345</v>
      </c>
      <c r="J190" s="44">
        <v>12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2.75">
      <c r="A191" s="46"/>
      <c r="B191" s="46">
        <f>IF(('Distances (TRPs) KD Compass'!D30+'Distances (TRPs) KD Compass'!E30+'Distances (TRPs) KD Compass'!F30)&gt;0,IF($B$169+(360-'Distances (TRPs) KD Compass'!B30)&gt;360,$B$169+(360-'Distances (TRPs) KD Compass'!B30)-360,$B$169+(360-'Distances (TRPs) KD Compass'!B30)),)</f>
        <v>0</v>
      </c>
      <c r="C191" s="44"/>
      <c r="D191" s="44">
        <v>0</v>
      </c>
      <c r="E191" s="44" t="s">
        <v>180</v>
      </c>
      <c r="F191" s="44" t="s">
        <v>180</v>
      </c>
      <c r="G191" s="44"/>
      <c r="H191" s="44"/>
      <c r="I191" s="44"/>
      <c r="J191" s="44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</sheetData>
  <mergeCells count="2">
    <mergeCell ref="I2:J2"/>
    <mergeCell ref="G12:J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M30"/>
  <sheetViews>
    <sheetView workbookViewId="0" topLeftCell="A1">
      <selection activeCell="D3" sqref="D3"/>
    </sheetView>
  </sheetViews>
  <sheetFormatPr defaultColWidth="9.00390625" defaultRowHeight="12.75"/>
  <cols>
    <col min="1" max="1" width="20.00390625" style="0" customWidth="1"/>
    <col min="2" max="2" width="6.625" style="0" customWidth="1"/>
    <col min="3" max="3" width="7.50390625" style="0" customWidth="1"/>
    <col min="4" max="4" width="7.25390625" style="0" customWidth="1"/>
    <col min="5" max="5" width="7.375" style="0" customWidth="1"/>
    <col min="7" max="7" width="7.875" style="0" customWidth="1"/>
    <col min="8" max="8" width="6.625" style="0" customWidth="1"/>
    <col min="9" max="9" width="5.875" style="0" customWidth="1"/>
    <col min="10" max="10" width="6.75390625" style="0" customWidth="1"/>
    <col min="11" max="15" width="7.50390625" style="0" customWidth="1"/>
    <col min="19" max="19" width="9.375" style="0" customWidth="1"/>
    <col min="20" max="20" width="10.875" style="0" customWidth="1"/>
  </cols>
  <sheetData>
    <row r="1" spans="1:8" ht="18.75" thickBot="1">
      <c r="A1" s="124" t="s">
        <v>72</v>
      </c>
      <c r="B1" s="125"/>
      <c r="C1" s="125"/>
      <c r="D1" s="126" t="s">
        <v>124</v>
      </c>
      <c r="E1" s="127"/>
      <c r="F1" s="102" t="s">
        <v>125</v>
      </c>
      <c r="G1" s="100"/>
      <c r="H1" s="101"/>
    </row>
    <row r="2" spans="1:10" ht="13.5" thickBot="1">
      <c r="A2" s="25"/>
      <c r="B2" s="15"/>
      <c r="C2" s="37"/>
      <c r="D2" s="15"/>
      <c r="J2" s="326"/>
    </row>
    <row r="3" spans="1:10" ht="13.5" thickBot="1">
      <c r="A3" s="128" t="s">
        <v>95</v>
      </c>
      <c r="B3" s="129"/>
      <c r="C3" s="130" t="s">
        <v>206</v>
      </c>
      <c r="D3" s="14"/>
      <c r="E3" s="168" t="s">
        <v>161</v>
      </c>
      <c r="F3" s="171" t="str">
        <f>'Cartridge Info'!A3</f>
        <v>6,5-284 Norma</v>
      </c>
      <c r="G3" s="63"/>
      <c r="H3" s="325" t="s">
        <v>153</v>
      </c>
      <c r="I3" s="330" t="str">
        <f>CONCATENATE('Cartridge Info'!B19," mph")</f>
        <v>6 mph</v>
      </c>
      <c r="J3" s="333"/>
    </row>
    <row r="4" spans="1:8" ht="13.5" thickBot="1">
      <c r="A4" s="131" t="s">
        <v>78</v>
      </c>
      <c r="B4" s="132" t="s">
        <v>180</v>
      </c>
      <c r="C4" s="133" t="s">
        <v>208</v>
      </c>
      <c r="D4" s="321"/>
      <c r="E4" s="169" t="s">
        <v>160</v>
      </c>
      <c r="F4" s="172" t="str">
        <f>CONCATENATE('Cartridge Info'!B15," Yds")</f>
        <v>109,36 Yds</v>
      </c>
      <c r="G4" s="64"/>
      <c r="H4" s="62"/>
    </row>
    <row r="5" spans="1:13" ht="13.5" thickBot="1">
      <c r="A5" s="58" t="s">
        <v>138</v>
      </c>
      <c r="B5" s="11" t="s">
        <v>180</v>
      </c>
      <c r="C5" s="56">
        <v>0</v>
      </c>
      <c r="D5" s="319"/>
      <c r="E5" s="334" t="s">
        <v>159</v>
      </c>
      <c r="F5" s="335" t="str">
        <f>CONCATENATE('Cartridge Info'!B16," mph")</f>
        <v>10 mph</v>
      </c>
      <c r="G5" s="80"/>
      <c r="H5" s="117" t="s">
        <v>246</v>
      </c>
      <c r="I5" s="99"/>
      <c r="J5" s="170">
        <f>IF(B8+Calculations!A169&gt;360,(B8+Calculations!A169)-360,B8+Calculations!A169)</f>
        <v>114</v>
      </c>
      <c r="K5" s="62"/>
      <c r="L5" s="62"/>
      <c r="M5" s="62"/>
    </row>
    <row r="6" spans="1:12" ht="13.5" thickBot="1">
      <c r="A6" s="134" t="s">
        <v>207</v>
      </c>
      <c r="B6" s="135"/>
      <c r="C6" s="136" t="s">
        <v>206</v>
      </c>
      <c r="D6" s="137" t="s">
        <v>209</v>
      </c>
      <c r="E6" s="138"/>
      <c r="F6" s="139" t="s">
        <v>79</v>
      </c>
      <c r="G6" s="140" t="s">
        <v>97</v>
      </c>
      <c r="H6" s="141" t="s">
        <v>100</v>
      </c>
      <c r="I6" s="134" t="s">
        <v>153</v>
      </c>
      <c r="J6" s="142" t="s">
        <v>159</v>
      </c>
      <c r="K6" s="143" t="s">
        <v>178</v>
      </c>
      <c r="L6" s="139" t="s">
        <v>184</v>
      </c>
    </row>
    <row r="7" spans="1:13" ht="13.5" thickBot="1">
      <c r="A7" s="144" t="s">
        <v>142</v>
      </c>
      <c r="B7" s="145" t="s">
        <v>205</v>
      </c>
      <c r="C7" s="146" t="s">
        <v>208</v>
      </c>
      <c r="D7" s="147" t="s">
        <v>41</v>
      </c>
      <c r="E7" s="148" t="s">
        <v>40</v>
      </c>
      <c r="F7" s="145" t="s">
        <v>96</v>
      </c>
      <c r="G7" s="132" t="s">
        <v>46</v>
      </c>
      <c r="H7" s="149" t="s">
        <v>46</v>
      </c>
      <c r="I7" s="144" t="s">
        <v>58</v>
      </c>
      <c r="J7" s="150" t="s">
        <v>80</v>
      </c>
      <c r="K7" s="151" t="s">
        <v>179</v>
      </c>
      <c r="L7" s="145" t="s">
        <v>144</v>
      </c>
      <c r="M7" s="328"/>
    </row>
    <row r="8" spans="1:13" ht="13.5" thickBot="1">
      <c r="A8" s="33" t="s">
        <v>126</v>
      </c>
      <c r="B8" s="59">
        <v>294</v>
      </c>
      <c r="C8" s="57">
        <v>0</v>
      </c>
      <c r="D8" s="66">
        <v>91</v>
      </c>
      <c r="E8" s="152">
        <f aca="true" t="shared" si="0" ref="E8:E30">IF(D8&gt;0,D8*1.095,)</f>
        <v>99.645</v>
      </c>
      <c r="F8" s="153">
        <f>IF((ABS($C$5-C8))&gt;D8,"Wrong",VLOOKUP((E8+('Cartridge Info'!$B$9/2)),'Ballistics Table'!$B$4:$B$44,1))</f>
        <v>109.36</v>
      </c>
      <c r="G8" s="154">
        <f>IF((E8+('Cartridge Info'!$B$9/2))&gt;'Ballistics Table'!$B$44,"Too Far",-VLOOKUP(COS(L8*PI()/180)*(F8+'Cartridge Info'!$B$9/2),'Ballistics Table'!$B$4:$G$44,6))</f>
        <v>0</v>
      </c>
      <c r="H8" s="155">
        <f>IF(SUM(B8)=0," ",VLOOKUP(F8,'Ballistics Table'!$B$4:$K$44,10)*(VLOOKUP(SUM('Cartridge Info'!$B$17),Calculations!$G$21:$I$44,2)))</f>
        <v>0.553128851980355</v>
      </c>
      <c r="I8" s="156">
        <f>IF(SUM(F8)=0," ",VLOOKUP(F8,'Ballistics Table'!$B$4:$P$44,14))</f>
        <v>0.11396011820794669</v>
      </c>
      <c r="J8" s="336">
        <v>6</v>
      </c>
      <c r="K8" s="167">
        <f>IF(SUM(B8)=0," ",VLOOKUP(F8,'Ballistics Table'!$B$4:$K$44,10)*(VLOOKUP(SUM(J8),Calculations!$G$21:$I$44,2)))</f>
        <v>0</v>
      </c>
      <c r="L8" s="320">
        <f aca="true" t="shared" si="1" ref="L8:L30">IF((C8+D8)&gt;0,DEGREES(TAN((ABS($C$5-C8))/D8)),)</f>
        <v>0</v>
      </c>
      <c r="M8" s="329"/>
    </row>
    <row r="9" spans="1:12" ht="12.75">
      <c r="A9" s="33" t="s">
        <v>127</v>
      </c>
      <c r="B9" s="60">
        <v>91</v>
      </c>
      <c r="C9" s="12">
        <v>90</v>
      </c>
      <c r="D9" s="67">
        <v>185</v>
      </c>
      <c r="E9" s="157">
        <f t="shared" si="0"/>
        <v>202.575</v>
      </c>
      <c r="F9" s="158">
        <f>IF((ABS($C$5-C9))&gt;D9,"Wrong",VLOOKUP((E9+('Cartridge Info'!$B$9/2)),'Ballistics Table'!$B$4:$B$44,1))</f>
        <v>218.72</v>
      </c>
      <c r="G9" s="159">
        <f>IF((E9+('Cartridge Info'!$B$9/2))&gt;'Ballistics Table'!$B$44,"Too Far",-VLOOKUP(COS(L9*PI()/180)*(F9+'Cartridge Info'!$B$9/2),'Ballistics Table'!$B$4:$G$44,6))</f>
        <v>0.5243806166449674</v>
      </c>
      <c r="H9" s="160">
        <f>IF(SUM(B9)=0," ",VLOOKUP(F9,'Ballistics Table'!$B$4:$K$44,10)*(VLOOKUP(SUM('Cartridge Info'!$B$17),Calculations!$G$21:$I$44,2)))</f>
        <v>1.068875364360311</v>
      </c>
      <c r="I9" s="156">
        <f>IF(SUM(F9)=0," ",VLOOKUP(F9,'Ballistics Table'!$B$4:$P$44,14))</f>
        <v>0.23473712363400992</v>
      </c>
      <c r="J9" s="164">
        <f>VLOOKUP(Calculations!B170,Calculations!$I$178:$J$190,2)</f>
        <v>1</v>
      </c>
      <c r="K9" s="165">
        <f>IF(SUM(B9)=0," ",VLOOKUP(F9,'Ballistics Table'!$B$4:$K$44,10)*(VLOOKUP(SUM(J9),Calculations!$G$21:$I$44,2)))</f>
        <v>0.5344376821801554</v>
      </c>
      <c r="L9" s="157">
        <f t="shared" si="1"/>
        <v>30.30278964521349</v>
      </c>
    </row>
    <row r="10" spans="1:12" ht="12.75">
      <c r="A10" s="33" t="s">
        <v>128</v>
      </c>
      <c r="B10" s="60">
        <v>123</v>
      </c>
      <c r="C10" s="12">
        <v>0</v>
      </c>
      <c r="D10" s="67">
        <v>300</v>
      </c>
      <c r="E10" s="157">
        <f t="shared" si="0"/>
        <v>328.5</v>
      </c>
      <c r="F10" s="158">
        <f>IF((ABS($C$5-C10))&gt;D10,"Wrong",VLOOKUP((E10+('Cartridge Info'!$B$9/2)),'Ballistics Table'!$B$4:$B$44,1))</f>
        <v>328.08</v>
      </c>
      <c r="G10" s="159">
        <f>IF((E10+('Cartridge Info'!$B$9/2))&gt;'Ballistics Table'!$B$44,"Too Far",-VLOOKUP(COS(L10*PI()/180)*(F10+'Cartridge Info'!$B$9/2),'Ballistics Table'!$B$4:$G$44,6))</f>
        <v>3.5310846413610073</v>
      </c>
      <c r="H10" s="155">
        <f>IF(SUM(B10)=0," ",VLOOKUP(F10,'Ballistics Table'!$B$4:$K$44,10)*(VLOOKUP(SUM('Cartridge Info'!$B$17),Calculations!$G$21:$I$44,2)))</f>
        <v>1.5660501602568841</v>
      </c>
      <c r="I10" s="156">
        <f>IF(SUM(F10)=0," ",VLOOKUP(F10,'Ballistics Table'!$B$4:$P$44,14))</f>
        <v>0.36289732311291645</v>
      </c>
      <c r="J10" s="164">
        <f>VLOOKUP(Calculations!B171,Calculations!$I$178:$J$190,2)</f>
        <v>12</v>
      </c>
      <c r="K10" s="165">
        <f>IF(SUM(B10)=0," ",VLOOKUP(F10,'Ballistics Table'!$B$4:$K$44,10)*(VLOOKUP(SUM(J10),Calculations!$G$21:$I$44,2)))</f>
        <v>0</v>
      </c>
      <c r="L10" s="157">
        <f t="shared" si="1"/>
        <v>0</v>
      </c>
    </row>
    <row r="11" spans="1:12" ht="12.75">
      <c r="A11" s="33" t="s">
        <v>129</v>
      </c>
      <c r="B11" s="60">
        <v>30</v>
      </c>
      <c r="C11" s="12">
        <v>23</v>
      </c>
      <c r="D11" s="67">
        <v>400</v>
      </c>
      <c r="E11" s="157">
        <f t="shared" si="0"/>
        <v>438</v>
      </c>
      <c r="F11" s="158">
        <f>IF((ABS($C$5-C11))&gt;D11,"Wrong",VLOOKUP((E11+('Cartridge Info'!$B$9/2)),'Ballistics Table'!$B$4:$B$44,1))</f>
        <v>437.44</v>
      </c>
      <c r="G11" s="159">
        <f>IF((E11+('Cartridge Info'!$B$9/2))&gt;'Ballistics Table'!$B$44,"Too Far",-VLOOKUP(COS(L11*PI()/180)*(F11+'Cartridge Info'!$B$9/2),'Ballistics Table'!$B$4:$G$44,6))</f>
        <v>6.009419099501965</v>
      </c>
      <c r="H11" s="160">
        <f>IF(SUM(B11)=0," ",VLOOKUP(F11,'Ballistics Table'!$B$4:$K$44,10)*(VLOOKUP(SUM('Cartridge Info'!$B$17),Calculations!$G$21:$I$44,2)))</f>
        <v>2.110798041121082</v>
      </c>
      <c r="I11" s="156">
        <f>IF(SUM(F11)=0," ",VLOOKUP(F11,'Ballistics Table'!$B$4:$P$44,14))</f>
        <v>0.4991187480500751</v>
      </c>
      <c r="J11" s="164">
        <f>VLOOKUP(Calculations!B172,Calculations!$I$178:$J$190,2)</f>
        <v>3</v>
      </c>
      <c r="K11" s="165">
        <f>IF(SUM(B11)=0," ",VLOOKUP(F11,'Ballistics Table'!$B$4:$K$44,10)*(VLOOKUP(SUM(J11),Calculations!$G$21:$I$44,2)))</f>
        <v>2.110798041121082</v>
      </c>
      <c r="L11" s="157">
        <f t="shared" si="1"/>
        <v>3.2981429518094876</v>
      </c>
    </row>
    <row r="12" spans="1:12" ht="12.75">
      <c r="A12" s="33" t="s">
        <v>130</v>
      </c>
      <c r="B12" s="60">
        <v>256</v>
      </c>
      <c r="C12" s="12">
        <v>0</v>
      </c>
      <c r="D12" s="67">
        <v>500</v>
      </c>
      <c r="E12" s="157">
        <f t="shared" si="0"/>
        <v>547.5</v>
      </c>
      <c r="F12" s="158">
        <f>IF((ABS($C$5-C12))&gt;D12,"Wrong",VLOOKUP((E12+('Cartridge Info'!$B$9/2)),'Ballistics Table'!$B$4:$B$44,1))</f>
        <v>546.8</v>
      </c>
      <c r="G12" s="159">
        <f>IF((E12+('Cartridge Info'!$B$9/2))&gt;'Ballistics Table'!$B$44,"Too Far",-VLOOKUP(COS(L12*PI()/180)*(F12+'Cartridge Info'!$B$9/2),'Ballistics Table'!$B$4:$G$44,6))</f>
        <v>8.828511991781948</v>
      </c>
      <c r="H12" s="160">
        <f>IF(SUM(B12)=0," ",VLOOKUP(F12,'Ballistics Table'!$B$4:$K$44,10)*(VLOOKUP(SUM('Cartridge Info'!$B$17),Calculations!$G$21:$I$44,2)))</f>
        <v>2.743081250658742</v>
      </c>
      <c r="I12" s="156">
        <f>IF(SUM(F12)=0," ",VLOOKUP(F12,'Ballistics Table'!$B$4:$P$44,14))</f>
        <v>0.6441311419121885</v>
      </c>
      <c r="J12" s="164">
        <f>VLOOKUP(Calculations!B173,Calculations!$I$178:$J$190,2)</f>
        <v>7</v>
      </c>
      <c r="K12" s="165">
        <f>IF(SUM(B12)=0," ",VLOOKUP(F12,'Ballistics Table'!$B$4:$K$44,10)*(VLOOKUP(SUM(J12),Calculations!$G$21:$I$44,2)))</f>
        <v>1.3715406253293712</v>
      </c>
      <c r="L12" s="157">
        <f t="shared" si="1"/>
        <v>0</v>
      </c>
    </row>
    <row r="13" spans="1:12" ht="12.75">
      <c r="A13" s="33" t="s">
        <v>131</v>
      </c>
      <c r="B13" s="60">
        <v>198</v>
      </c>
      <c r="C13" s="12">
        <v>0</v>
      </c>
      <c r="D13" s="67">
        <v>600</v>
      </c>
      <c r="E13" s="157">
        <f t="shared" si="0"/>
        <v>657</v>
      </c>
      <c r="F13" s="158">
        <f>IF((ABS($C$5-C13))&gt;D13,"Wrong",VLOOKUP((E13+('Cartridge Info'!$B$9/2)),'Ballistics Table'!$B$4:$B$44,1))</f>
        <v>656.1599999999999</v>
      </c>
      <c r="G13" s="159">
        <f>IF((E13+('Cartridge Info'!$B$9/2))&gt;'Ballistics Table'!$B$44,"Too Far",-VLOOKUP(COS(L13*PI()/180)*(F13+'Cartridge Info'!$B$9/2),'Ballistics Table'!$B$4:$G$44,6))</f>
        <v>11.9304760266261</v>
      </c>
      <c r="H13" s="160">
        <f>IF(SUM(B13)=0," ",VLOOKUP(F13,'Ballistics Table'!$B$4:$K$44,10)*(VLOOKUP(SUM('Cartridge Info'!$B$17),Calculations!$G$21:$I$44,2)))</f>
        <v>3.401027965798171</v>
      </c>
      <c r="I13" s="156">
        <f>IF(SUM(F13)=0," ",VLOOKUP(F13,'Ballistics Table'!$B$4:$P$44,14))</f>
        <v>0.7988173476224203</v>
      </c>
      <c r="J13" s="164">
        <f>VLOOKUP(Calculations!B174,Calculations!$I$178:$J$190,2)</f>
        <v>9</v>
      </c>
      <c r="K13" s="165">
        <f>IF(SUM(B13)=0," ",VLOOKUP(F13,'Ballistics Table'!$B$4:$K$44,10)*(VLOOKUP(SUM(J13),Calculations!$G$21:$I$44,2)))</f>
        <v>3.401027965798171</v>
      </c>
      <c r="L13" s="157">
        <f t="shared" si="1"/>
        <v>0</v>
      </c>
    </row>
    <row r="14" spans="1:12" ht="12.75">
      <c r="A14" s="33" t="s">
        <v>132</v>
      </c>
      <c r="B14" s="60">
        <v>345</v>
      </c>
      <c r="C14" s="12">
        <v>0</v>
      </c>
      <c r="D14" s="67">
        <v>100</v>
      </c>
      <c r="E14" s="157">
        <f t="shared" si="0"/>
        <v>109.5</v>
      </c>
      <c r="F14" s="158">
        <f>IF((ABS($C$5-C14))&gt;D14,"Wrong",VLOOKUP((E14+('Cartridge Info'!$B$9/2)),'Ballistics Table'!$B$4:$B$44,1))</f>
        <v>109.36</v>
      </c>
      <c r="G14" s="159">
        <f>IF((E14+('Cartridge Info'!$B$9/2))&gt;'Ballistics Table'!$B$44,"Too Far",-VLOOKUP(COS(L14*PI()/180)*(F14+'Cartridge Info'!$B$9/2),'Ballistics Table'!$B$4:$G$44,6))</f>
        <v>0</v>
      </c>
      <c r="H14" s="160">
        <f>IF(SUM(B14)=0," ",VLOOKUP(F14,'Ballistics Table'!$B$4:$K$44,10)*(VLOOKUP(SUM('Cartridge Info'!$B$17),Calculations!$G$21:$I$44,2)))</f>
        <v>0.553128851980355</v>
      </c>
      <c r="I14" s="156">
        <f>IF(SUM(F14)=0," ",VLOOKUP(F14,'Ballistics Table'!$B$4:$P$44,14))</f>
        <v>0.11396011820794669</v>
      </c>
      <c r="J14" s="164">
        <f>VLOOKUP(Calculations!B175,Calculations!$I$178:$J$190,2)</f>
        <v>4</v>
      </c>
      <c r="K14" s="165">
        <f>IF(SUM(B14)=0," ",VLOOKUP(F14,'Ballistics Table'!$B$4:$K$44,10)*(VLOOKUP(SUM(J14),Calculations!$G$21:$I$44,2)))</f>
        <v>0.47902363738111</v>
      </c>
      <c r="L14" s="157">
        <f t="shared" si="1"/>
        <v>0</v>
      </c>
    </row>
    <row r="15" spans="1:12" ht="12.75">
      <c r="A15" s="33" t="s">
        <v>133</v>
      </c>
      <c r="B15" s="60">
        <v>270</v>
      </c>
      <c r="C15" s="12">
        <v>0</v>
      </c>
      <c r="D15" s="67">
        <v>200</v>
      </c>
      <c r="E15" s="157">
        <f t="shared" si="0"/>
        <v>219</v>
      </c>
      <c r="F15" s="158">
        <f>IF((ABS($C$5-C15))&gt;D15,"Wrong",VLOOKUP((E15+('Cartridge Info'!$B$9/2)),'Ballistics Table'!$B$4:$B$44,1))</f>
        <v>218.72</v>
      </c>
      <c r="G15" s="159">
        <f>IF((E15+('Cartridge Info'!$B$9/2))&gt;'Ballistics Table'!$B$44,"Too Far",-VLOOKUP(COS(L15*PI()/180)*(F15+'Cartridge Info'!$B$9/2),'Ballistics Table'!$B$4:$G$44,6))</f>
        <v>1.3980992341371237</v>
      </c>
      <c r="H15" s="160">
        <f>IF(SUM(B15)=0," ",VLOOKUP(F15,'Ballistics Table'!$B$4:$K$44,10)*(VLOOKUP(SUM('Cartridge Info'!$B$17),Calculations!$G$21:$I$44,2)))</f>
        <v>1.068875364360311</v>
      </c>
      <c r="I15" s="156">
        <f>IF(SUM(F15)=0," ",VLOOKUP(F15,'Ballistics Table'!$B$4:$P$44,14))</f>
        <v>0.23473712363400992</v>
      </c>
      <c r="J15" s="164">
        <f>VLOOKUP(Calculations!B176,Calculations!$I$178:$J$190,2)</f>
        <v>7</v>
      </c>
      <c r="K15" s="165">
        <f>IF(SUM(B15)=0," ",VLOOKUP(F15,'Ballistics Table'!$B$4:$K$44,10)*(VLOOKUP(SUM(J15),Calculations!$G$21:$I$44,2)))</f>
        <v>0.5344376821801556</v>
      </c>
      <c r="L15" s="157">
        <f t="shared" si="1"/>
        <v>0</v>
      </c>
    </row>
    <row r="16" spans="1:12" ht="12.75">
      <c r="A16" s="33" t="s">
        <v>134</v>
      </c>
      <c r="B16" s="60">
        <v>45</v>
      </c>
      <c r="C16" s="12">
        <v>0</v>
      </c>
      <c r="D16" s="67">
        <v>300</v>
      </c>
      <c r="E16" s="157">
        <f t="shared" si="0"/>
        <v>328.5</v>
      </c>
      <c r="F16" s="158">
        <f>IF((ABS($C$5-C16))&gt;D16,"Wrong",VLOOKUP((E16+('Cartridge Info'!$B$9/2)),'Ballistics Table'!$B$4:$B$44,1))</f>
        <v>328.08</v>
      </c>
      <c r="G16" s="159">
        <f>IF((E16+('Cartridge Info'!$B$9/2))&gt;'Ballistics Table'!$B$44,"Too Far",-VLOOKUP(COS(L16*PI()/180)*(F16+'Cartridge Info'!$B$9/2),'Ballistics Table'!$B$4:$G$44,6))</f>
        <v>3.5310846413610073</v>
      </c>
      <c r="H16" s="160">
        <f>IF(SUM(B16)=0," ",VLOOKUP(F16,'Ballistics Table'!$B$4:$K$44,10)*(VLOOKUP(SUM('Cartridge Info'!$B$17),Calculations!$G$21:$I$44,2)))</f>
        <v>1.5660501602568841</v>
      </c>
      <c r="I16" s="156">
        <f>IF(SUM(F16)=0," ",VLOOKUP(F16,'Ballistics Table'!$B$4:$P$44,14))</f>
        <v>0.36289732311291645</v>
      </c>
      <c r="J16" s="164">
        <f>VLOOKUP(Calculations!B177,Calculations!$I$178:$J$190,2)</f>
        <v>2</v>
      </c>
      <c r="K16" s="165">
        <f>IF(SUM(B16)=0," ",VLOOKUP(F16,'Ballistics Table'!$B$4:$K$44,10)*(VLOOKUP(SUM(J16),Calculations!$G$21:$I$44,2)))</f>
        <v>1.356239222383153</v>
      </c>
      <c r="L16" s="157">
        <f t="shared" si="1"/>
        <v>0</v>
      </c>
    </row>
    <row r="17" spans="1:12" ht="12.75">
      <c r="A17" s="33" t="s">
        <v>137</v>
      </c>
      <c r="B17" s="60">
        <v>76</v>
      </c>
      <c r="C17" s="12">
        <v>0</v>
      </c>
      <c r="D17" s="67">
        <v>400</v>
      </c>
      <c r="E17" s="157">
        <f t="shared" si="0"/>
        <v>438</v>
      </c>
      <c r="F17" s="158">
        <f>IF((ABS($C$5-C17))&gt;D17,"Wrong",VLOOKUP((E17+('Cartridge Info'!$B$9/2)),'Ballistics Table'!$B$4:$B$44,1))</f>
        <v>437.44</v>
      </c>
      <c r="G17" s="159">
        <f>IF((E17+('Cartridge Info'!$B$9/2))&gt;'Ballistics Table'!$B$44,"Too Far",-VLOOKUP(COS(L17*PI()/180)*(F17+'Cartridge Info'!$B$9/2),'Ballistics Table'!$B$4:$G$44,6))</f>
        <v>6.009419099501965</v>
      </c>
      <c r="H17" s="160">
        <f>IF(SUM(B17)=0," ",VLOOKUP(F17,'Ballistics Table'!$B$4:$K$44,10)*(VLOOKUP(SUM('Cartridge Info'!$B$17),Calculations!$G$21:$I$44,2)))</f>
        <v>2.110798041121082</v>
      </c>
      <c r="I17" s="156">
        <f>IF(SUM(F17)=0," ",VLOOKUP(F17,'Ballistics Table'!$B$4:$P$44,14))</f>
        <v>0.4991187480500751</v>
      </c>
      <c r="J17" s="164">
        <f>VLOOKUP(Calculations!B178,Calculations!$I$178:$J$190,2)</f>
        <v>1</v>
      </c>
      <c r="K17" s="165">
        <f>IF(SUM(B17)=0," ",VLOOKUP(F17,'Ballistics Table'!$B$4:$K$44,10)*(VLOOKUP(SUM(J17),Calculations!$G$21:$I$44,2)))</f>
        <v>1.0553990205605408</v>
      </c>
      <c r="L17" s="157">
        <f t="shared" si="1"/>
        <v>0</v>
      </c>
    </row>
    <row r="18" spans="1:12" ht="12.75">
      <c r="A18" s="33" t="s">
        <v>135</v>
      </c>
      <c r="B18" s="60">
        <v>210</v>
      </c>
      <c r="C18" s="12">
        <v>0</v>
      </c>
      <c r="D18" s="67">
        <v>500</v>
      </c>
      <c r="E18" s="157">
        <f t="shared" si="0"/>
        <v>547.5</v>
      </c>
      <c r="F18" s="158">
        <f>IF((ABS($C$5-C18))&gt;D18,"Wrong",VLOOKUP((E18+('Cartridge Info'!$B$9/2)),'Ballistics Table'!$B$4:$B$44,1))</f>
        <v>546.8</v>
      </c>
      <c r="G18" s="159">
        <f>IF((E18+('Cartridge Info'!$B$9/2))&gt;'Ballistics Table'!$B$44,"Too Far",-VLOOKUP(COS(L18*PI()/180)*(F18+'Cartridge Info'!$B$9/2),'Ballistics Table'!$B$4:$G$44,6))</f>
        <v>8.828511991781948</v>
      </c>
      <c r="H18" s="160">
        <f>IF(SUM(B18)=0," ",VLOOKUP(F18,'Ballistics Table'!$B$4:$K$44,10)*(VLOOKUP(SUM('Cartridge Info'!$B$17),Calculations!$G$21:$I$44,2)))</f>
        <v>2.743081250658742</v>
      </c>
      <c r="I18" s="156">
        <f>IF(SUM(F18)=0," ",VLOOKUP(F18,'Ballistics Table'!$B$4:$P$44,14))</f>
        <v>0.6441311419121885</v>
      </c>
      <c r="J18" s="164">
        <f>VLOOKUP(Calculations!B179,Calculations!$I$178:$J$190,2)</f>
        <v>9</v>
      </c>
      <c r="K18" s="165">
        <f>IF(SUM(B18)=0," ",VLOOKUP(F18,'Ballistics Table'!$B$4:$K$44,10)*(VLOOKUP(SUM(J18),Calculations!$G$21:$I$44,2)))</f>
        <v>2.743081250658742</v>
      </c>
      <c r="L18" s="157">
        <f t="shared" si="1"/>
        <v>0</v>
      </c>
    </row>
    <row r="19" spans="1:12" ht="12.75">
      <c r="A19" s="33" t="s">
        <v>136</v>
      </c>
      <c r="B19" s="60">
        <v>243</v>
      </c>
      <c r="C19" s="12">
        <v>0</v>
      </c>
      <c r="D19" s="67">
        <v>150</v>
      </c>
      <c r="E19" s="157">
        <f t="shared" si="0"/>
        <v>164.25</v>
      </c>
      <c r="F19" s="158">
        <f>IF((ABS($C$5-C19))&gt;D19,"Wrong",VLOOKUP((E19+('Cartridge Info'!$B$9/2)),'Ballistics Table'!$B$4:$B$44,1))</f>
        <v>164.04</v>
      </c>
      <c r="G19" s="159">
        <f>IF((E19+('Cartridge Info'!$B$9/2))&gt;'Ballistics Table'!$B$44,"Too Far",-VLOOKUP(COS(L19*PI()/180)*(F19+'Cartridge Info'!$B$9/2),'Ballistics Table'!$B$4:$G$44,6))</f>
        <v>0.5243806166449674</v>
      </c>
      <c r="H19" s="160">
        <f>IF(SUM(B19)=0," ",VLOOKUP(F19,'Ballistics Table'!$B$4:$K$44,10)*(VLOOKUP(SUM('Cartridge Info'!$B$17),Calculations!$G$21:$I$44,2)))</f>
        <v>0.7885640031796479</v>
      </c>
      <c r="I19" s="156">
        <f>IF(SUM(F19)=0," ",VLOOKUP(F19,'Ballistics Table'!$B$4:$P$44,14))</f>
        <v>0.17345957413830576</v>
      </c>
      <c r="J19" s="164">
        <f>VLOOKUP(Calculations!B180,Calculations!$I$178:$J$190,2)</f>
        <v>8</v>
      </c>
      <c r="K19" s="165">
        <f>IF(SUM(B19)=0," ",VLOOKUP(F19,'Ballistics Table'!$B$4:$K$44,10)*(VLOOKUP(SUM(J19),Calculations!$G$21:$I$44,2)))</f>
        <v>0.6829164592635277</v>
      </c>
      <c r="L19" s="157">
        <f t="shared" si="1"/>
        <v>0</v>
      </c>
    </row>
    <row r="20" spans="1:12" ht="12.75">
      <c r="A20" s="33" t="s">
        <v>143</v>
      </c>
      <c r="B20" s="60">
        <v>65</v>
      </c>
      <c r="C20" s="12">
        <v>0</v>
      </c>
      <c r="D20" s="67">
        <v>200</v>
      </c>
      <c r="E20" s="157">
        <f t="shared" si="0"/>
        <v>219</v>
      </c>
      <c r="F20" s="158">
        <f>IF((ABS($C$5-C20))&gt;D20,"Wrong",VLOOKUP((E20+('Cartridge Info'!$B$9/2)),'Ballistics Table'!$B$4:$B$44,1))</f>
        <v>218.72</v>
      </c>
      <c r="G20" s="159">
        <f>IF((E20+('Cartridge Info'!$B$9/2))&gt;'Ballistics Table'!$B$44,"Too Far",-VLOOKUP(COS(L20*PI()/180)*(F20+'Cartridge Info'!$B$9/2),'Ballistics Table'!$B$4:$G$44,6))</f>
        <v>1.3980992341371237</v>
      </c>
      <c r="H20" s="160">
        <f>IF(SUM(B20)=0," ",VLOOKUP(F20,'Ballistics Table'!$B$4:$K$44,10)*(VLOOKUP(SUM('Cartridge Info'!$B$17),Calculations!$G$21:$I$44,2)))</f>
        <v>1.068875364360311</v>
      </c>
      <c r="I20" s="156">
        <f>IF(SUM(F20)=0," ",VLOOKUP(F20,'Ballistics Table'!$B$4:$P$44,14))</f>
        <v>0.23473712363400992</v>
      </c>
      <c r="J20" s="164">
        <f>VLOOKUP(Calculations!B181,Calculations!$I$178:$J$190,2)</f>
        <v>2</v>
      </c>
      <c r="K20" s="165">
        <f>IF(SUM(B20)=0," ",VLOOKUP(F20,'Ballistics Table'!$B$4:$K$44,10)*(VLOOKUP(SUM(J20),Calculations!$G$21:$I$44,2)))</f>
        <v>0.9256732190153774</v>
      </c>
      <c r="L20" s="157">
        <f t="shared" si="1"/>
        <v>0</v>
      </c>
    </row>
    <row r="21" spans="1:12" ht="12.75">
      <c r="A21" s="33" t="s">
        <v>186</v>
      </c>
      <c r="B21" s="60">
        <v>82</v>
      </c>
      <c r="C21" s="12">
        <v>0</v>
      </c>
      <c r="D21" s="67">
        <v>200</v>
      </c>
      <c r="E21" s="157">
        <f t="shared" si="0"/>
        <v>219</v>
      </c>
      <c r="F21" s="158">
        <f>IF((ABS($C$5-C21))&gt;D21,"Wrong",VLOOKUP((E21+('Cartridge Info'!$B$9/2)),'Ballistics Table'!$B$4:$B$44,1))</f>
        <v>218.72</v>
      </c>
      <c r="G21" s="159">
        <f>IF((E21+('Cartridge Info'!$B$9/2))&gt;'Ballistics Table'!$B$44,"Too Far",-VLOOKUP(COS(L21*PI()/180)*(F21+'Cartridge Info'!$B$9/2),'Ballistics Table'!$B$4:$G$44,6))</f>
        <v>1.3980992341371237</v>
      </c>
      <c r="H21" s="160">
        <f>IF(SUM(B21)=0," ",VLOOKUP(F21,'Ballistics Table'!$B$4:$K$44,10)*(VLOOKUP(SUM('Cartridge Info'!$B$17),Calculations!$G$21:$I$44,2)))</f>
        <v>1.068875364360311</v>
      </c>
      <c r="I21" s="156">
        <f>IF(SUM(F21)=0," ",VLOOKUP(F21,'Ballistics Table'!$B$4:$P$44,14))</f>
        <v>0.23473712363400992</v>
      </c>
      <c r="J21" s="164">
        <f>VLOOKUP(Calculations!B182,Calculations!$I$178:$J$190,2)</f>
        <v>1</v>
      </c>
      <c r="K21" s="165">
        <f>IF(SUM(B21)=0," ",VLOOKUP(F21,'Ballistics Table'!$B$4:$K$44,10)*(VLOOKUP(SUM(J21),Calculations!$G$21:$I$44,2)))</f>
        <v>0.5344376821801554</v>
      </c>
      <c r="L21" s="157">
        <f t="shared" si="1"/>
        <v>0</v>
      </c>
    </row>
    <row r="22" spans="1:12" ht="12.75">
      <c r="A22" s="52" t="s">
        <v>138</v>
      </c>
      <c r="B22" s="60">
        <v>2</v>
      </c>
      <c r="C22" s="12">
        <v>0</v>
      </c>
      <c r="D22" s="67">
        <v>200</v>
      </c>
      <c r="E22" s="157">
        <f t="shared" si="0"/>
        <v>219</v>
      </c>
      <c r="F22" s="158">
        <f>IF((ABS($C$5-C22))&gt;D22,"Wrong",VLOOKUP((E22+('Cartridge Info'!$B$9/2)),'Ballistics Table'!$B$4:$B$44,1))</f>
        <v>218.72</v>
      </c>
      <c r="G22" s="159">
        <f>IF((E22+('Cartridge Info'!$B$9/2))&gt;'Ballistics Table'!$B$44,"Too Far",-VLOOKUP(COS(L22*PI()/180)*(F22+'Cartridge Info'!$B$9/2),'Ballistics Table'!$B$4:$G$44,6))</f>
        <v>1.3980992341371237</v>
      </c>
      <c r="H22" s="160">
        <f>IF(SUM(B22)=0," ",VLOOKUP(F22,'Ballistics Table'!$B$4:$K$44,10)*(VLOOKUP(SUM('Cartridge Info'!$B$17),Calculations!$G$21:$I$44,2)))</f>
        <v>1.068875364360311</v>
      </c>
      <c r="I22" s="156">
        <f>IF(SUM(F22)=0," ",VLOOKUP(F22,'Ballistics Table'!$B$4:$P$44,14))</f>
        <v>0.23473712363400992</v>
      </c>
      <c r="J22" s="164">
        <f>VLOOKUP(Calculations!B183,Calculations!$I$178:$J$190,2)</f>
        <v>4</v>
      </c>
      <c r="K22" s="165">
        <f>IF(SUM(B22)=0," ",VLOOKUP(F22,'Ballistics Table'!$B$4:$K$44,10)*(VLOOKUP(SUM(J22),Calculations!$G$21:$I$44,2)))</f>
        <v>0.9256732190153775</v>
      </c>
      <c r="L22" s="157">
        <f t="shared" si="1"/>
        <v>0</v>
      </c>
    </row>
    <row r="23" spans="1:12" ht="12.75">
      <c r="A23" s="53">
        <v>16</v>
      </c>
      <c r="B23" s="60"/>
      <c r="C23" s="12">
        <v>0</v>
      </c>
      <c r="D23" s="67">
        <v>0</v>
      </c>
      <c r="E23" s="157">
        <f t="shared" si="0"/>
        <v>0</v>
      </c>
      <c r="F23" s="158">
        <f>IF((ABS($C$5-C23))&gt;D23,"Wrong",VLOOKUP((E23+('Cartridge Info'!$B$9/2)),'Ballistics Table'!$B$4:$B$44,1))</f>
        <v>0</v>
      </c>
      <c r="G23" s="159">
        <f>IF((E23+('Cartridge Info'!$B$9/2))&gt;'Ballistics Table'!$B$44,"Too Far",-VLOOKUP(COS(L23*PI()/180)*(F23+'Cartridge Info'!$B$9/2),'Ballistics Table'!$B$4:$G$44,6))</f>
        <v>0</v>
      </c>
      <c r="H23" s="160" t="str">
        <f>IF(SUM(B23)=0," ",VLOOKUP(F23,'Ballistics Table'!$B$4:$K$44,10)*(VLOOKUP(SUM('Cartridge Info'!$B$17),Calculations!$G$21:$I$44,2)))</f>
        <v> </v>
      </c>
      <c r="I23" s="156" t="str">
        <f>IF(SUM(F23)=0," ",VLOOKUP(F23,'Ballistics Table'!$B$4:$P$44,14))</f>
        <v> </v>
      </c>
      <c r="J23" s="164">
        <f>VLOOKUP(Calculations!B184,Calculations!$I$178:$J$190,2)</f>
        <v>12</v>
      </c>
      <c r="K23" s="165" t="str">
        <f>IF(SUM(B23)=0," ",VLOOKUP(F23,'Ballistics Table'!$B$4:$K$44,10)*(VLOOKUP(SUM(J23),Calculations!$G$21:$I$44,2)))</f>
        <v> </v>
      </c>
      <c r="L23" s="157">
        <f t="shared" si="1"/>
        <v>0</v>
      </c>
    </row>
    <row r="24" spans="1:12" ht="12.75">
      <c r="A24" s="33">
        <v>17</v>
      </c>
      <c r="B24" s="60"/>
      <c r="C24" s="12">
        <v>0</v>
      </c>
      <c r="D24" s="67">
        <v>0</v>
      </c>
      <c r="E24" s="157">
        <f t="shared" si="0"/>
        <v>0</v>
      </c>
      <c r="F24" s="158">
        <f>IF((ABS($C$5-C24))&gt;D24,"Wrong",VLOOKUP((E24+('Cartridge Info'!$B$9/2)),'Ballistics Table'!$B$4:$B$44,1))</f>
        <v>0</v>
      </c>
      <c r="G24" s="159">
        <f>IF((E24+('Cartridge Info'!$B$9/2))&gt;'Ballistics Table'!$B$44,"Too Far",-VLOOKUP(COS(L24*PI()/180)*(F24+'Cartridge Info'!$B$9/2),'Ballistics Table'!$B$4:$G$44,6))</f>
        <v>0</v>
      </c>
      <c r="H24" s="160" t="str">
        <f>IF(SUM(B24)=0," ",VLOOKUP(F24,'Ballistics Table'!$B$4:$K$44,10)*(VLOOKUP(SUM('Cartridge Info'!$B$17),Calculations!$G$21:$I$44,2)))</f>
        <v> </v>
      </c>
      <c r="I24" s="156" t="str">
        <f>IF(SUM(F24)=0," ",VLOOKUP(F24,'Ballistics Table'!$B$4:$P$44,14))</f>
        <v> </v>
      </c>
      <c r="J24" s="164">
        <f>VLOOKUP(Calculations!B185,Calculations!$I$178:$J$190,2)</f>
        <v>12</v>
      </c>
      <c r="K24" s="165" t="str">
        <f>IF(SUM(B24)=0," ",VLOOKUP(F24,'Ballistics Table'!$B$4:$K$44,10)*(VLOOKUP(SUM(J24),Calculations!$G$21:$I$44,2)))</f>
        <v> </v>
      </c>
      <c r="L24" s="157">
        <f t="shared" si="1"/>
        <v>0</v>
      </c>
    </row>
    <row r="25" spans="1:12" ht="12.75">
      <c r="A25" s="33">
        <v>18</v>
      </c>
      <c r="B25" s="60"/>
      <c r="C25" s="12">
        <v>0</v>
      </c>
      <c r="D25" s="67">
        <v>0</v>
      </c>
      <c r="E25" s="157">
        <f t="shared" si="0"/>
        <v>0</v>
      </c>
      <c r="F25" s="158">
        <f>IF((ABS($C$5-C25))&gt;D25,"Wrong",VLOOKUP((E25+('Cartridge Info'!$B$9/2)),'Ballistics Table'!$B$4:$B$44,1))</f>
        <v>0</v>
      </c>
      <c r="G25" s="159">
        <f>IF((E25+('Cartridge Info'!$B$9/2))&gt;'Ballistics Table'!$B$44,"Too Far",-VLOOKUP(COS(L25*PI()/180)*(F25+'Cartridge Info'!$B$9/2),'Ballistics Table'!$B$4:$G$44,6))</f>
        <v>0</v>
      </c>
      <c r="H25" s="160" t="str">
        <f>IF(SUM(B25)=0," ",VLOOKUP(F25,'Ballistics Table'!$B$4:$K$44,10)*(VLOOKUP(SUM('Cartridge Info'!$B$17),Calculations!$G$21:$I$44,2)))</f>
        <v> </v>
      </c>
      <c r="I25" s="156" t="str">
        <f>IF(SUM(F25)=0," ",VLOOKUP(F25,'Ballistics Table'!$B$4:$P$44,14))</f>
        <v> </v>
      </c>
      <c r="J25" s="164">
        <f>VLOOKUP(Calculations!B186,Calculations!$I$178:$J$190,2)</f>
        <v>12</v>
      </c>
      <c r="K25" s="165" t="str">
        <f>IF(SUM(B25)=0," ",VLOOKUP(F25,'Ballistics Table'!$B$4:$K$44,10)*(VLOOKUP(SUM(J25),Calculations!$G$21:$I$44,2)))</f>
        <v> </v>
      </c>
      <c r="L25" s="157">
        <f t="shared" si="1"/>
        <v>0</v>
      </c>
    </row>
    <row r="26" spans="1:12" ht="12.75">
      <c r="A26" s="33">
        <v>19</v>
      </c>
      <c r="B26" s="60"/>
      <c r="C26" s="12">
        <v>0</v>
      </c>
      <c r="D26" s="67">
        <v>0</v>
      </c>
      <c r="E26" s="157">
        <f t="shared" si="0"/>
        <v>0</v>
      </c>
      <c r="F26" s="158">
        <f>IF((ABS($C$5-C26))&gt;D26,"Wrong",VLOOKUP((E26+('Cartridge Info'!$B$9/2)),'Ballistics Table'!$B$4:$B$44,1))</f>
        <v>0</v>
      </c>
      <c r="G26" s="159">
        <f>IF((E26+('Cartridge Info'!$B$9/2))&gt;'Ballistics Table'!$B$44,"Too Far",-VLOOKUP(COS(L26*PI()/180)*(F26+'Cartridge Info'!$B$9/2),'Ballistics Table'!$B$4:$G$44,6))</f>
        <v>0</v>
      </c>
      <c r="H26" s="160" t="str">
        <f>IF(SUM(B26)=0," ",VLOOKUP(F26,'Ballistics Table'!$B$4:$K$44,10)*(VLOOKUP(SUM('Cartridge Info'!$B$17),Calculations!$G$21:$I$44,2)))</f>
        <v> </v>
      </c>
      <c r="I26" s="156" t="str">
        <f>IF(SUM(F26)=0," ",VLOOKUP(F26,'Ballistics Table'!$B$4:$P$44,14))</f>
        <v> </v>
      </c>
      <c r="J26" s="164">
        <f>VLOOKUP(Calculations!B187,Calculations!$I$178:$J$190,2)</f>
        <v>12</v>
      </c>
      <c r="K26" s="165" t="str">
        <f>IF(SUM(B26)=0," ",VLOOKUP(F26,'Ballistics Table'!$B$4:$K$44,10)*(VLOOKUP(SUM(J26),Calculations!$G$21:$I$44,2)))</f>
        <v> </v>
      </c>
      <c r="L26" s="157">
        <f t="shared" si="1"/>
        <v>0</v>
      </c>
    </row>
    <row r="27" spans="1:12" ht="12.75">
      <c r="A27" s="33">
        <v>20</v>
      </c>
      <c r="B27" s="60"/>
      <c r="C27" s="12">
        <v>0</v>
      </c>
      <c r="D27" s="67">
        <v>0</v>
      </c>
      <c r="E27" s="157">
        <f t="shared" si="0"/>
        <v>0</v>
      </c>
      <c r="F27" s="158">
        <f>IF((ABS($C$5-C27))&gt;D27,"Wrong",VLOOKUP((E27+('Cartridge Info'!$B$9/2)),'Ballistics Table'!$B$4:$B$44,1))</f>
        <v>0</v>
      </c>
      <c r="G27" s="159">
        <f>IF((E27+('Cartridge Info'!$B$9/2))&gt;'Ballistics Table'!$B$44,"Too Far",-VLOOKUP(COS(L27*PI()/180)*(F27+'Cartridge Info'!$B$9/2),'Ballistics Table'!$B$4:$G$44,6))</f>
        <v>0</v>
      </c>
      <c r="H27" s="160" t="str">
        <f>IF(SUM(B27)=0," ",VLOOKUP(F27,'Ballistics Table'!$B$4:$K$44,10)*(VLOOKUP(SUM('Cartridge Info'!$B$17),Calculations!$G$21:$I$44,2)))</f>
        <v> </v>
      </c>
      <c r="I27" s="156" t="str">
        <f>IF(SUM(F27)=0," ",VLOOKUP(F27,'Ballistics Table'!$B$4:$P$44,14))</f>
        <v> </v>
      </c>
      <c r="J27" s="164">
        <f>VLOOKUP(Calculations!B188,Calculations!$I$178:$J$190,2)</f>
        <v>12</v>
      </c>
      <c r="K27" s="165" t="str">
        <f>IF(SUM(B27)=0," ",VLOOKUP(F27,'Ballistics Table'!$B$4:$K$44,10)*(VLOOKUP(SUM(J27),Calculations!$G$21:$I$44,2)))</f>
        <v> </v>
      </c>
      <c r="L27" s="157">
        <f t="shared" si="1"/>
        <v>0</v>
      </c>
    </row>
    <row r="28" spans="1:12" ht="12.75">
      <c r="A28" s="33">
        <v>21</v>
      </c>
      <c r="B28" s="60"/>
      <c r="C28" s="12">
        <v>0</v>
      </c>
      <c r="D28" s="67">
        <v>0</v>
      </c>
      <c r="E28" s="157">
        <f t="shared" si="0"/>
        <v>0</v>
      </c>
      <c r="F28" s="158">
        <f>IF((ABS($C$5-C28))&gt;D28,"Wrong",VLOOKUP((E28+('Cartridge Info'!$B$9/2)),'Ballistics Table'!$B$4:$B$44,1))</f>
        <v>0</v>
      </c>
      <c r="G28" s="159">
        <f>IF((E28+('Cartridge Info'!$B$9/2))&gt;'Ballistics Table'!$B$44,"Too Far",-VLOOKUP(COS(L28*PI()/180)*(F28+'Cartridge Info'!$B$9/2),'Ballistics Table'!$B$4:$G$44,6))</f>
        <v>0</v>
      </c>
      <c r="H28" s="160" t="str">
        <f>IF(SUM(B28)=0," ",VLOOKUP(F28,'Ballistics Table'!$B$4:$K$44,10)*(VLOOKUP(SUM('Cartridge Info'!$B$17),Calculations!$G$21:$I$44,2)))</f>
        <v> </v>
      </c>
      <c r="I28" s="156" t="str">
        <f>IF(SUM(F28)=0," ",VLOOKUP(F28,'Ballistics Table'!$B$4:$P$44,14))</f>
        <v> </v>
      </c>
      <c r="J28" s="164">
        <f>VLOOKUP(Calculations!B189,Calculations!$I$178:$J$190,2)</f>
        <v>12</v>
      </c>
      <c r="K28" s="165" t="str">
        <f>IF(SUM(B28)=0," ",VLOOKUP(F28,'Ballistics Table'!$B$4:$K$44,10)*(VLOOKUP(SUM(J28),Calculations!$G$21:$I$44,2)))</f>
        <v> </v>
      </c>
      <c r="L28" s="157">
        <f t="shared" si="1"/>
        <v>0</v>
      </c>
    </row>
    <row r="29" spans="1:12" ht="12.75">
      <c r="A29" s="33">
        <v>22</v>
      </c>
      <c r="B29" s="60"/>
      <c r="C29" s="12">
        <v>0</v>
      </c>
      <c r="D29" s="67">
        <v>0</v>
      </c>
      <c r="E29" s="157">
        <f t="shared" si="0"/>
        <v>0</v>
      </c>
      <c r="F29" s="158">
        <f>IF((ABS($C$5-C29))&gt;D29,"Wrong",VLOOKUP((E29+('Cartridge Info'!$B$9/2)),'Ballistics Table'!$B$4:$B$44,1))</f>
        <v>0</v>
      </c>
      <c r="G29" s="159">
        <f>IF((E29+('Cartridge Info'!$B$9/2))&gt;'Ballistics Table'!$B$44,"Too Far",-VLOOKUP(COS(L29*PI()/180)*(F29+'Cartridge Info'!$B$9/2),'Ballistics Table'!$B$4:$G$44,6))</f>
        <v>0</v>
      </c>
      <c r="H29" s="160" t="str">
        <f>IF(SUM(B29)=0," ",VLOOKUP(F29,'Ballistics Table'!$B$4:$K$44,10)*(VLOOKUP(SUM('Cartridge Info'!$B$17),Calculations!$G$21:$I$44,2)))</f>
        <v> </v>
      </c>
      <c r="I29" s="156" t="str">
        <f>IF(SUM(F29)=0," ",VLOOKUP(F29,'Ballistics Table'!$B$4:$P$44,14))</f>
        <v> </v>
      </c>
      <c r="J29" s="164">
        <f>VLOOKUP(Calculations!B190,Calculations!$I$178:$J$190,2)</f>
        <v>12</v>
      </c>
      <c r="K29" s="165" t="str">
        <f>IF(SUM(B29)=0," ",VLOOKUP(F29,'Ballistics Table'!$B$4:$K$44,10)*(VLOOKUP(SUM(J29),Calculations!$G$21:$I$44,2)))</f>
        <v> </v>
      </c>
      <c r="L29" s="157">
        <f t="shared" si="1"/>
        <v>0</v>
      </c>
    </row>
    <row r="30" spans="1:12" ht="13.5" thickBot="1">
      <c r="A30" s="34">
        <v>23</v>
      </c>
      <c r="B30" s="61"/>
      <c r="C30" s="13">
        <v>0</v>
      </c>
      <c r="D30" s="68">
        <v>0</v>
      </c>
      <c r="E30" s="161">
        <f t="shared" si="0"/>
        <v>0</v>
      </c>
      <c r="F30" s="158">
        <f>IF((ABS($C$5-C30))&gt;D30,"Wrong",VLOOKUP((E30+('Cartridge Info'!$B$9/2)),'Ballistics Table'!$B$4:$B$44,1))</f>
        <v>0</v>
      </c>
      <c r="G30" s="162">
        <f>IF((E30+('Cartridge Info'!$B$9/2))&gt;'Ballistics Table'!$B$44,"Too Far",-VLOOKUP(COS(L30*PI()/180)*(F30+'Cartridge Info'!$B$9/2),'Ballistics Table'!$B$4:$G$44,6))</f>
        <v>0</v>
      </c>
      <c r="H30" s="163" t="str">
        <f>IF(SUM(B30)=0," ",VLOOKUP(F30,'Ballistics Table'!$B$4:$K$44,10)*(VLOOKUP(SUM('Cartridge Info'!$B$17),Calculations!$G$21:$I$44,2)))</f>
        <v> </v>
      </c>
      <c r="I30" s="156" t="str">
        <f>IF(SUM(F30)=0," ",VLOOKUP(F30,'Ballistics Table'!$B$4:$P$44,14))</f>
        <v> </v>
      </c>
      <c r="J30" s="164">
        <f>VLOOKUP(Calculations!B191,Calculations!$I$178:$J$190,2)</f>
        <v>12</v>
      </c>
      <c r="K30" s="166" t="str">
        <f>IF(SUM(B30)=0," ",VLOOKUP(F30,'Ballistics Table'!$B$4:$K$44,10)*(VLOOKUP(SUM(J30),Calculations!$G$21:$I$44,2)))</f>
        <v> </v>
      </c>
      <c r="L30" s="157">
        <f t="shared" si="1"/>
        <v>0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M37"/>
  <sheetViews>
    <sheetView workbookViewId="0" topLeftCell="A1">
      <selection activeCell="M19" sqref="M19"/>
    </sheetView>
  </sheetViews>
  <sheetFormatPr defaultColWidth="9.00390625" defaultRowHeight="12.75"/>
  <cols>
    <col min="1" max="1" width="20.00390625" style="0" customWidth="1"/>
    <col min="2" max="2" width="7.50390625" style="0" customWidth="1"/>
    <col min="3" max="3" width="8.00390625" style="0" customWidth="1"/>
    <col min="4" max="4" width="7.25390625" style="0" customWidth="1"/>
    <col min="5" max="5" width="7.375" style="0" customWidth="1"/>
    <col min="7" max="7" width="7.875" style="0" customWidth="1"/>
    <col min="8" max="8" width="7.50390625" style="0" customWidth="1"/>
    <col min="9" max="10" width="6.75390625" style="0" customWidth="1"/>
    <col min="11" max="11" width="6.25390625" style="0" customWidth="1"/>
    <col min="12" max="13" width="7.50390625" style="0" customWidth="1"/>
    <col min="14" max="14" width="6.875" style="0" customWidth="1"/>
    <col min="21" max="21" width="9.375" style="0" customWidth="1"/>
    <col min="22" max="22" width="10.875" style="0" customWidth="1"/>
  </cols>
  <sheetData>
    <row r="1" spans="1:8" ht="18.75" thickBot="1">
      <c r="A1" s="124" t="s">
        <v>72</v>
      </c>
      <c r="B1" s="125"/>
      <c r="C1" s="125"/>
      <c r="D1" s="126" t="s">
        <v>124</v>
      </c>
      <c r="E1" s="127"/>
      <c r="F1" s="102" t="s">
        <v>125</v>
      </c>
      <c r="G1" s="100"/>
      <c r="H1" s="101"/>
    </row>
    <row r="2" spans="1:4" ht="12.75" thickBot="1">
      <c r="A2" s="25"/>
      <c r="B2" s="15"/>
      <c r="C2" s="37"/>
      <c r="D2" s="15"/>
    </row>
    <row r="3" spans="1:9" ht="13.5" thickBot="1">
      <c r="A3" s="128" t="s">
        <v>95</v>
      </c>
      <c r="B3" s="129"/>
      <c r="C3" s="173"/>
      <c r="D3" s="42"/>
      <c r="E3" s="168" t="s">
        <v>161</v>
      </c>
      <c r="F3" s="171" t="str">
        <f>'Cartridge Info'!A3</f>
        <v>6,5-284 Norma</v>
      </c>
      <c r="G3" s="174"/>
      <c r="H3" s="117" t="s">
        <v>206</v>
      </c>
      <c r="I3" s="175" t="s">
        <v>243</v>
      </c>
    </row>
    <row r="4" spans="1:10" ht="13.5" thickBot="1">
      <c r="A4" s="176" t="s">
        <v>78</v>
      </c>
      <c r="B4" s="177" t="s">
        <v>73</v>
      </c>
      <c r="C4" s="178" t="s">
        <v>74</v>
      </c>
      <c r="D4" s="322"/>
      <c r="E4" s="169" t="s">
        <v>160</v>
      </c>
      <c r="F4" s="179" t="str">
        <f>CONCATENATE('Cartridge Info'!B15," Yds")</f>
        <v>109,36 Yds</v>
      </c>
      <c r="G4" s="169" t="s">
        <v>144</v>
      </c>
      <c r="H4" s="180" t="str">
        <f>CONCATENATE('Cartridge Info'!B18," Deg")</f>
        <v>0 Deg</v>
      </c>
      <c r="I4" s="42"/>
      <c r="J4" s="326"/>
    </row>
    <row r="5" spans="1:10" ht="13.5" thickBot="1">
      <c r="A5" s="38" t="s">
        <v>138</v>
      </c>
      <c r="B5" s="39">
        <f>B16</f>
        <v>694197</v>
      </c>
      <c r="C5" s="40">
        <f>C16</f>
        <v>5622676</v>
      </c>
      <c r="D5" s="319"/>
      <c r="E5" s="324" t="s">
        <v>159</v>
      </c>
      <c r="F5" s="331" t="str">
        <f>CONCATENATE('Cartridge Info'!B16," mph")</f>
        <v>10 mph</v>
      </c>
      <c r="G5" s="180"/>
      <c r="H5" s="325" t="s">
        <v>153</v>
      </c>
      <c r="I5" s="330" t="str">
        <f>CONCATENATE('Cartridge Info'!B19," mph")</f>
        <v>6 mph</v>
      </c>
      <c r="J5" s="327"/>
    </row>
    <row r="6" spans="1:10" ht="13.5" thickBot="1">
      <c r="A6" s="139" t="s">
        <v>162</v>
      </c>
      <c r="B6" s="181"/>
      <c r="C6" s="182"/>
      <c r="D6" s="183" t="s">
        <v>98</v>
      </c>
      <c r="E6" s="184"/>
      <c r="F6" s="185" t="s">
        <v>79</v>
      </c>
      <c r="G6" s="185" t="s">
        <v>97</v>
      </c>
      <c r="H6" s="186" t="s">
        <v>100</v>
      </c>
      <c r="I6" s="134" t="s">
        <v>153</v>
      </c>
      <c r="J6" s="187" t="s">
        <v>159</v>
      </c>
    </row>
    <row r="7" spans="1:11" ht="13.5" thickBot="1">
      <c r="A7" s="188" t="s">
        <v>142</v>
      </c>
      <c r="B7" s="188" t="s">
        <v>73</v>
      </c>
      <c r="C7" s="188" t="s">
        <v>74</v>
      </c>
      <c r="D7" s="188" t="s">
        <v>41</v>
      </c>
      <c r="E7" s="188" t="s">
        <v>40</v>
      </c>
      <c r="F7" s="188" t="s">
        <v>96</v>
      </c>
      <c r="G7" s="188" t="s">
        <v>46</v>
      </c>
      <c r="H7" s="189" t="s">
        <v>46</v>
      </c>
      <c r="I7" s="190" t="s">
        <v>58</v>
      </c>
      <c r="J7" s="191" t="s">
        <v>80</v>
      </c>
      <c r="K7" s="328"/>
    </row>
    <row r="8" spans="1:13" ht="13.5" thickBot="1">
      <c r="A8" s="32" t="s">
        <v>126</v>
      </c>
      <c r="B8" s="27">
        <v>694100</v>
      </c>
      <c r="C8" s="28">
        <v>5622632</v>
      </c>
      <c r="D8" s="192">
        <f aca="true" t="shared" si="0" ref="D8:D37">IF(B8&gt;0,(SQRT(SUM(($B$5-B8)*($B$5-B8))+(($C$5-C8)*($C$5-C8)))),)</f>
        <v>106.51291001564083</v>
      </c>
      <c r="E8" s="193">
        <f aca="true" t="shared" si="1" ref="E8:E37">IF(D8&gt;0,D8*1.095,)</f>
        <v>116.6316364671267</v>
      </c>
      <c r="F8" s="194">
        <f>VLOOKUP((E8+('Cartridge Info'!$B$9/2)),'Ballistics Table'!$B$4:$B$44,1)</f>
        <v>109.36</v>
      </c>
      <c r="G8" s="195">
        <f>IF((E8+('Cartridge Info'!$B$9/2))&gt;'Ballistics Table'!$B$44,"Too Far",-VLOOKUP(COS('Cartridge Info'!$B$18*PI()/180)*(F8+'Cartridge Info'!$B$9/2),'Ballistics Table'!$B$4:$G$44,6))</f>
        <v>0</v>
      </c>
      <c r="H8" s="196">
        <f>IF(SUM(B8)=0," ",VLOOKUP(F8,'Ballistics Table'!$B$4:$K$44,10)*(VLOOKUP(SUM(J8),Calculations!$G$21:$I$44,2)))</f>
        <v>0.27656442599017755</v>
      </c>
      <c r="I8" s="197">
        <f>IF(SUM(F8)=0," ",VLOOKUP(F8,'Ballistics Table'!$B$4:$P$44,14))</f>
        <v>0.11396011820794669</v>
      </c>
      <c r="J8" s="332">
        <v>7</v>
      </c>
      <c r="K8" s="329"/>
      <c r="L8" s="314"/>
      <c r="M8" s="315"/>
    </row>
    <row r="9" spans="1:13" ht="12.75">
      <c r="A9" s="33" t="s">
        <v>127</v>
      </c>
      <c r="B9" s="2">
        <v>694028</v>
      </c>
      <c r="C9" s="12">
        <v>5622627</v>
      </c>
      <c r="D9" s="153">
        <f t="shared" si="0"/>
        <v>175.96022277776305</v>
      </c>
      <c r="E9" s="152">
        <f t="shared" si="1"/>
        <v>192.67644394165055</v>
      </c>
      <c r="F9" s="198">
        <f>VLOOKUP((E9+('Cartridge Info'!$B$9/2)),'Ballistics Table'!$B$4:$B$44,1)</f>
        <v>218.72</v>
      </c>
      <c r="G9" s="199">
        <f>IF((E9+('Cartridge Info'!$B$9/2))&gt;'Ballistics Table'!$B$44,"Too Far",-VLOOKUP(COS('Cartridge Info'!$B$18*PI()/180)*(F9+'Cartridge Info'!$B$9/2),'Ballistics Table'!$B$4:$G$44,6))</f>
        <v>1.3980992341371237</v>
      </c>
      <c r="H9" s="200">
        <f>IF(SUM(B9)=0," ",VLOOKUP(F9,'Ballistics Table'!$B$4:$K$44,10)*(VLOOKUP(SUM(J9),Calculations!$G$21:$I$44,2)))</f>
        <v>0.5344376821801556</v>
      </c>
      <c r="I9" s="201">
        <f>IF(SUM(F9)=0," ",VLOOKUP(F9,'Ballistics Table'!$B$4:$P$44,14))</f>
        <v>0.23473712363400992</v>
      </c>
      <c r="J9" s="215">
        <f>VLOOKUP(Calculations!C128,Calculations!$N$136:$O$148,2)</f>
        <v>7</v>
      </c>
      <c r="L9" s="315"/>
      <c r="M9" s="316"/>
    </row>
    <row r="10" spans="1:13" ht="12.75">
      <c r="A10" s="33" t="s">
        <v>128</v>
      </c>
      <c r="B10" s="2">
        <v>0</v>
      </c>
      <c r="C10" s="12">
        <v>0</v>
      </c>
      <c r="D10" s="153">
        <f t="shared" si="0"/>
        <v>0</v>
      </c>
      <c r="E10" s="152">
        <f t="shared" si="1"/>
        <v>0</v>
      </c>
      <c r="F10" s="198">
        <f>VLOOKUP((E10+('Cartridge Info'!$B$9/2)),'Ballistics Table'!$B$4:$B$44,1)</f>
        <v>0</v>
      </c>
      <c r="G10" s="199">
        <f>IF((E10+('Cartridge Info'!$B$9/2))&gt;'Ballistics Table'!$B$44,"Too Far",-VLOOKUP(COS('Cartridge Info'!$B$18*PI()/180)*(F10+'Cartridge Info'!$B$9/2),'Ballistics Table'!$B$4:$G$44,6))</f>
        <v>0</v>
      </c>
      <c r="H10" s="202" t="str">
        <f>IF(SUM(B10)=0," ",VLOOKUP(F10,'Ballistics Table'!$B$4:$K$44,10)*(VLOOKUP(SUM(J10),Calculations!$G$21:$I$44,2)))</f>
        <v> </v>
      </c>
      <c r="I10" s="201" t="str">
        <f>IF(SUM(F10)=0," ",VLOOKUP(F10,'Ballistics Table'!$B$4:$P$44,14))</f>
        <v> </v>
      </c>
      <c r="J10" s="215">
        <f>VLOOKUP(Calculations!C129,Calculations!$N$136:$O$148,2)</f>
        <v>12</v>
      </c>
      <c r="L10" s="315"/>
      <c r="M10" s="316"/>
    </row>
    <row r="11" spans="1:13" ht="12.75">
      <c r="A11" s="33" t="s">
        <v>129</v>
      </c>
      <c r="B11" s="2">
        <v>693778</v>
      </c>
      <c r="C11" s="12">
        <v>5622609</v>
      </c>
      <c r="D11" s="153">
        <f t="shared" si="0"/>
        <v>424.3229901855425</v>
      </c>
      <c r="E11" s="152">
        <f t="shared" si="1"/>
        <v>464.63367425316903</v>
      </c>
      <c r="F11" s="198">
        <f>VLOOKUP((E11+('Cartridge Info'!$B$9/2)),'Ballistics Table'!$B$4:$B$44,1)</f>
        <v>437.44</v>
      </c>
      <c r="G11" s="199">
        <f>IF((E11+('Cartridge Info'!$B$9/2))&gt;'Ballistics Table'!$B$44,"Too Far",-VLOOKUP(COS('Cartridge Info'!$B$18*PI()/180)*(F11+'Cartridge Info'!$B$9/2),'Ballistics Table'!$B$4:$G$44,6))</f>
        <v>6.009419099501965</v>
      </c>
      <c r="H11" s="200">
        <f>IF(SUM(B11)=0," ",VLOOKUP(F11,'Ballistics Table'!$B$4:$K$44,10)*(VLOOKUP(SUM(J11),Calculations!$G$21:$I$44,2)))</f>
        <v>0</v>
      </c>
      <c r="I11" s="201">
        <f>IF(SUM(F11)=0," ",VLOOKUP(F11,'Ballistics Table'!$B$4:$P$44,14))</f>
        <v>0.4991187480500751</v>
      </c>
      <c r="J11" s="215">
        <f>VLOOKUP(Calculations!C130,Calculations!$N$136:$O$148,2)</f>
        <v>6</v>
      </c>
      <c r="L11" s="315"/>
      <c r="M11" s="317"/>
    </row>
    <row r="12" spans="1:10" ht="12.75">
      <c r="A12" s="33" t="s">
        <v>130</v>
      </c>
      <c r="B12" s="2">
        <v>694103</v>
      </c>
      <c r="C12" s="12">
        <v>5622433</v>
      </c>
      <c r="D12" s="153">
        <f t="shared" si="0"/>
        <v>260.547500467765</v>
      </c>
      <c r="E12" s="152">
        <f t="shared" si="1"/>
        <v>285.2995130122027</v>
      </c>
      <c r="F12" s="198">
        <f>VLOOKUP((E12+('Cartridge Info'!$B$9/2)),'Ballistics Table'!$B$4:$B$44,1)</f>
        <v>273.4</v>
      </c>
      <c r="G12" s="199">
        <f>IF((E12+('Cartridge Info'!$B$9/2))&gt;'Ballistics Table'!$B$44,"Too Far",-VLOOKUP(COS('Cartridge Info'!$B$18*PI()/180)*(F12+'Cartridge Info'!$B$9/2),'Ballistics Table'!$B$4:$G$44,6))</f>
        <v>2.412074009985143</v>
      </c>
      <c r="H12" s="200">
        <f>IF(SUM(B12)=0," ",VLOOKUP(F12,'Ballistics Table'!$B$4:$K$44,10)*(VLOOKUP(SUM(J12),Calculations!$G$21:$I$44,2)))</f>
        <v>1.1351082100536656</v>
      </c>
      <c r="I12" s="201">
        <f>IF(SUM(F12)=0," ",VLOOKUP(F12,'Ballistics Table'!$B$4:$P$44,14))</f>
        <v>0.2978537069352796</v>
      </c>
      <c r="J12" s="215">
        <f>VLOOKUP(Calculations!C131,Calculations!$N$136:$O$148,2)</f>
        <v>8</v>
      </c>
    </row>
    <row r="13" spans="1:10" ht="12.75">
      <c r="A13" s="33" t="s">
        <v>131</v>
      </c>
      <c r="B13" s="2">
        <v>694106</v>
      </c>
      <c r="C13" s="12">
        <v>5622334</v>
      </c>
      <c r="D13" s="153">
        <f t="shared" si="0"/>
        <v>353.89970330589426</v>
      </c>
      <c r="E13" s="152">
        <f t="shared" si="1"/>
        <v>387.5201751199542</v>
      </c>
      <c r="F13" s="198">
        <f>VLOOKUP((E13+('Cartridge Info'!$B$9/2)),'Ballistics Table'!$B$4:$B$44,1)</f>
        <v>382.76</v>
      </c>
      <c r="G13" s="199">
        <f>IF((E13+('Cartridge Info'!$B$9/2))&gt;'Ballistics Table'!$B$44,"Too Far",-VLOOKUP(COS('Cartridge Info'!$B$18*PI()/180)*(F13+'Cartridge Info'!$B$9/2),'Ballistics Table'!$B$4:$G$44,6))</f>
        <v>4.725676925649179</v>
      </c>
      <c r="H13" s="200">
        <f>IF(SUM(B13)=0," ",VLOOKUP(F13,'Ballistics Table'!$B$4:$K$44,10)*(VLOOKUP(SUM(J13),Calculations!$G$21:$I$44,2)))</f>
        <v>1.8246341823570362</v>
      </c>
      <c r="I13" s="201">
        <f>IF(SUM(F13)=0," ",VLOOKUP(F13,'Ballistics Table'!$B$4:$P$44,14))</f>
        <v>0.4299619183704798</v>
      </c>
      <c r="J13" s="215">
        <f>VLOOKUP(Calculations!C132,Calculations!$N$136:$O$148,2)</f>
        <v>9</v>
      </c>
    </row>
    <row r="14" spans="1:10" ht="12.75">
      <c r="A14" s="33" t="s">
        <v>132</v>
      </c>
      <c r="B14" s="2">
        <v>694107</v>
      </c>
      <c r="C14" s="12">
        <v>5622282</v>
      </c>
      <c r="D14" s="153">
        <f t="shared" si="0"/>
        <v>404.14848756366763</v>
      </c>
      <c r="E14" s="152">
        <f t="shared" si="1"/>
        <v>442.54259388221607</v>
      </c>
      <c r="F14" s="198">
        <f>VLOOKUP((E14+('Cartridge Info'!$B$9/2)),'Ballistics Table'!$B$4:$B$44,1)</f>
        <v>437.44</v>
      </c>
      <c r="G14" s="199">
        <f>IF((E14+('Cartridge Info'!$B$9/2))&gt;'Ballistics Table'!$B$44,"Too Far",-VLOOKUP(COS('Cartridge Info'!$B$18*PI()/180)*(F14+'Cartridge Info'!$B$9/2),'Ballistics Table'!$B$4:$G$44,6))</f>
        <v>6.009419099501965</v>
      </c>
      <c r="H14" s="200">
        <f>IF(SUM(B14)=0," ",VLOOKUP(F14,'Ballistics Table'!$B$4:$K$44,10)*(VLOOKUP(SUM(J14),Calculations!$G$21:$I$44,2)))</f>
        <v>2.110798041121082</v>
      </c>
      <c r="I14" s="201">
        <f>IF(SUM(F14)=0," ",VLOOKUP(F14,'Ballistics Table'!$B$4:$P$44,14))</f>
        <v>0.4991187480500751</v>
      </c>
      <c r="J14" s="215">
        <f>VLOOKUP(Calculations!C133,Calculations!$N$136:$O$148,2)</f>
        <v>9</v>
      </c>
    </row>
    <row r="15" spans="1:10" ht="12.75">
      <c r="A15" s="33" t="s">
        <v>133</v>
      </c>
      <c r="B15" s="2">
        <v>694205</v>
      </c>
      <c r="C15" s="12">
        <v>5622364</v>
      </c>
      <c r="D15" s="153">
        <f t="shared" si="0"/>
        <v>312.10254725009855</v>
      </c>
      <c r="E15" s="152">
        <f t="shared" si="1"/>
        <v>341.7522892388579</v>
      </c>
      <c r="F15" s="198">
        <f>VLOOKUP((E15+('Cartridge Info'!$B$9/2)),'Ballistics Table'!$B$4:$B$44,1)</f>
        <v>328.08</v>
      </c>
      <c r="G15" s="199">
        <f>IF((E15+('Cartridge Info'!$B$9/2))&gt;'Ballistics Table'!$B$44,"Too Far",-VLOOKUP(COS('Cartridge Info'!$B$18*PI()/180)*(F15+'Cartridge Info'!$B$9/2),'Ballistics Table'!$B$4:$G$44,6))</f>
        <v>3.5310846413610073</v>
      </c>
      <c r="H15" s="200">
        <f>IF(SUM(B15)=0," ",VLOOKUP(F15,'Ballistics Table'!$B$4:$K$44,10)*(VLOOKUP(SUM(J15),Calculations!$G$21:$I$44,2)))</f>
        <v>1.5660501602568841</v>
      </c>
      <c r="I15" s="201">
        <f>IF(SUM(F15)=0," ",VLOOKUP(F15,'Ballistics Table'!$B$4:$P$44,14))</f>
        <v>0.36289732311291645</v>
      </c>
      <c r="J15" s="215">
        <f>VLOOKUP(Calculations!C134,Calculations!$N$136:$O$148,2)</f>
        <v>9</v>
      </c>
    </row>
    <row r="16" spans="1:10" ht="12.75">
      <c r="A16" s="33" t="s">
        <v>134</v>
      </c>
      <c r="B16" s="2">
        <v>694197</v>
      </c>
      <c r="C16" s="12">
        <v>5622676</v>
      </c>
      <c r="D16" s="153">
        <f t="shared" si="0"/>
        <v>0</v>
      </c>
      <c r="E16" s="152">
        <f t="shared" si="1"/>
        <v>0</v>
      </c>
      <c r="F16" s="198">
        <f>VLOOKUP((E16+('Cartridge Info'!$B$9/2)),'Ballistics Table'!$B$4:$B$44,1)</f>
        <v>0</v>
      </c>
      <c r="G16" s="199">
        <f>IF((E16+('Cartridge Info'!$B$9/2))&gt;'Ballistics Table'!$B$44,"Too Far",-VLOOKUP(COS('Cartridge Info'!$B$18*PI()/180)*(F16+'Cartridge Info'!$B$9/2),'Ballistics Table'!$B$4:$G$44,6))</f>
        <v>0</v>
      </c>
      <c r="H16" s="200">
        <f>IF(SUM(B16)=0," ",VLOOKUP(F16,'Ballistics Table'!$B$4:$K$44,10)*(VLOOKUP(SUM(J16),Calculations!$G$21:$I$44,2)))</f>
        <v>0</v>
      </c>
      <c r="I16" s="201" t="str">
        <f>IF(SUM(F16)=0," ",VLOOKUP(F16,'Ballistics Table'!$B$4:$P$44,14))</f>
        <v> </v>
      </c>
      <c r="J16" s="215">
        <f>VLOOKUP(Calculations!C135,Calculations!$N$136:$O$148,2)</f>
        <v>12</v>
      </c>
    </row>
    <row r="17" spans="1:10" ht="12.75">
      <c r="A17" s="33" t="s">
        <v>137</v>
      </c>
      <c r="B17" s="2">
        <v>693882</v>
      </c>
      <c r="C17" s="12">
        <v>5622576</v>
      </c>
      <c r="D17" s="153">
        <f t="shared" si="0"/>
        <v>330.49205739321485</v>
      </c>
      <c r="E17" s="152">
        <f t="shared" si="1"/>
        <v>361.88880284557024</v>
      </c>
      <c r="F17" s="198">
        <f>VLOOKUP((E17+('Cartridge Info'!$B$9/2)),'Ballistics Table'!$B$4:$B$44,1)</f>
        <v>382.76</v>
      </c>
      <c r="G17" s="199">
        <f>IF((E17+('Cartridge Info'!$B$9/2))&gt;'Ballistics Table'!$B$44,"Too Far",-VLOOKUP(COS('Cartridge Info'!$B$18*PI()/180)*(F17+'Cartridge Info'!$B$9/2),'Ballistics Table'!$B$4:$G$44,6))</f>
        <v>4.725676925649179</v>
      </c>
      <c r="H17" s="200">
        <f>IF(SUM(B17)=0," ",VLOOKUP(F17,'Ballistics Table'!$B$4:$K$44,10)*(VLOOKUP(SUM(J17),Calculations!$G$21:$I$44,2)))</f>
        <v>0.9123170911785183</v>
      </c>
      <c r="I17" s="201">
        <f>IF(SUM(F17)=0," ",VLOOKUP(F17,'Ballistics Table'!$B$4:$P$44,14))</f>
        <v>0.4299619183704798</v>
      </c>
      <c r="J17" s="215">
        <f>VLOOKUP(Calculations!C136,Calculations!$N$136:$O$148,2)</f>
        <v>7</v>
      </c>
    </row>
    <row r="18" spans="1:10" ht="12.75">
      <c r="A18" s="33" t="s">
        <v>135</v>
      </c>
      <c r="B18" s="2">
        <v>693864</v>
      </c>
      <c r="C18" s="12">
        <v>5622506</v>
      </c>
      <c r="D18" s="153">
        <f t="shared" si="0"/>
        <v>373.8836717483126</v>
      </c>
      <c r="E18" s="152">
        <f t="shared" si="1"/>
        <v>409.4026205644023</v>
      </c>
      <c r="F18" s="198">
        <f>VLOOKUP((E18+('Cartridge Info'!$B$9/2)),'Ballistics Table'!$B$4:$B$44,1)</f>
        <v>382.76</v>
      </c>
      <c r="G18" s="199">
        <f>IF((E18+('Cartridge Info'!$B$9/2))&gt;'Ballistics Table'!$B$44,"Too Far",-VLOOKUP(COS('Cartridge Info'!$B$18*PI()/180)*(F18+'Cartridge Info'!$B$9/2),'Ballistics Table'!$B$4:$G$44,6))</f>
        <v>4.725676925649179</v>
      </c>
      <c r="H18" s="200">
        <f>IF(SUM(B18)=0," ",VLOOKUP(F18,'Ballistics Table'!$B$4:$K$44,10)*(VLOOKUP(SUM(J18),Calculations!$G$21:$I$44,2)))</f>
        <v>0.9123170911785183</v>
      </c>
      <c r="I18" s="201">
        <f>IF(SUM(F18)=0," ",VLOOKUP(F18,'Ballistics Table'!$B$4:$P$44,14))</f>
        <v>0.4299619183704798</v>
      </c>
      <c r="J18" s="215">
        <f>VLOOKUP(Calculations!C137,Calculations!$N$136:$O$148,2)</f>
        <v>7</v>
      </c>
    </row>
    <row r="19" spans="1:10" ht="12.75">
      <c r="A19" s="33" t="s">
        <v>136</v>
      </c>
      <c r="B19" s="2">
        <v>693849</v>
      </c>
      <c r="C19" s="12">
        <v>5622379</v>
      </c>
      <c r="D19" s="153">
        <f t="shared" si="0"/>
        <v>457.50737698970494</v>
      </c>
      <c r="E19" s="152">
        <f t="shared" si="1"/>
        <v>500.9705778037269</v>
      </c>
      <c r="F19" s="198">
        <f>VLOOKUP((E19+('Cartridge Info'!$B$9/2)),'Ballistics Table'!$B$4:$B$44,1)</f>
        <v>492.12</v>
      </c>
      <c r="G19" s="199">
        <f>IF((E19+('Cartridge Info'!$B$9/2))&gt;'Ballistics Table'!$B$44,"Too Far",-VLOOKUP(COS('Cartridge Info'!$B$18*PI()/180)*(F19+'Cartridge Info'!$B$9/2),'Ballistics Table'!$B$4:$G$44,6))</f>
        <v>7.374000344913842</v>
      </c>
      <c r="H19" s="200">
        <f>IF(SUM(B19)=0," ",VLOOKUP(F19,'Ballistics Table'!$B$4:$K$44,10)*(VLOOKUP(SUM(J19),Calculations!$G$21:$I$44,2)))</f>
        <v>2.0916081366283605</v>
      </c>
      <c r="I19" s="201">
        <f>IF(SUM(F19)=0," ",VLOOKUP(F19,'Ballistics Table'!$B$4:$P$44,14))</f>
        <v>0.5704715101205405</v>
      </c>
      <c r="J19" s="215">
        <f>VLOOKUP(Calculations!C138,Calculations!$N$136:$O$148,2)</f>
        <v>8</v>
      </c>
    </row>
    <row r="20" spans="1:10" ht="12.75">
      <c r="A20" s="33" t="s">
        <v>143</v>
      </c>
      <c r="B20" s="2">
        <v>693406</v>
      </c>
      <c r="C20" s="12">
        <v>5622001</v>
      </c>
      <c r="D20" s="153">
        <f t="shared" si="0"/>
        <v>1039.858644239687</v>
      </c>
      <c r="E20" s="152">
        <f t="shared" si="1"/>
        <v>1138.6452154424574</v>
      </c>
      <c r="F20" s="198">
        <f>VLOOKUP((E20+('Cartridge Info'!$B$9/2)),'Ballistics Table'!$B$4:$B$44,1)</f>
        <v>1148.2799999999997</v>
      </c>
      <c r="G20" s="199">
        <f>IF((E20+('Cartridge Info'!$B$9/2))&gt;'Ballistics Table'!$B$44,"Too Far",-VLOOKUP(COS('Cartridge Info'!$B$18*PI()/180)*(F20+'Cartridge Info'!$B$9/2),'Ballistics Table'!$B$4:$G$44,6))</f>
        <v>30.278387723340824</v>
      </c>
      <c r="H20" s="200">
        <f>IF(SUM(B20)=0," ",VLOOKUP(F20,'Ballistics Table'!$B$4:$K$44,10)*(VLOOKUP(SUM(J20),Calculations!$G$21:$I$44,2)))</f>
        <v>5.955440139012805</v>
      </c>
      <c r="I20" s="201">
        <f>IF(SUM(F20)=0," ",VLOOKUP(F20,'Ballistics Table'!$B$4:$P$44,14))</f>
        <v>1.641691764038613</v>
      </c>
      <c r="J20" s="215">
        <f>VLOOKUP(Calculations!C139,Calculations!$N$136:$O$148,2)</f>
        <v>8</v>
      </c>
    </row>
    <row r="21" spans="1:10" ht="12.75">
      <c r="A21" s="33" t="s">
        <v>186</v>
      </c>
      <c r="B21" s="2">
        <v>694157</v>
      </c>
      <c r="C21" s="12">
        <v>5622630</v>
      </c>
      <c r="D21" s="153">
        <f t="shared" si="0"/>
        <v>60.959002616512684</v>
      </c>
      <c r="E21" s="152">
        <f t="shared" si="1"/>
        <v>66.75010786508139</v>
      </c>
      <c r="F21" s="198">
        <f>VLOOKUP((E21+('Cartridge Info'!$B$9/2)),'Ballistics Table'!$B$4:$B$44,1)</f>
        <v>54.68</v>
      </c>
      <c r="G21" s="199">
        <f>IF((E21+('Cartridge Info'!$B$9/2))&gt;'Ballistics Table'!$B$44,"Too Far",-VLOOKUP(COS('Cartridge Info'!$B$18*PI()/180)*(F21+'Cartridge Info'!$B$9/2),'Ballistics Table'!$B$4:$G$44,6))</f>
        <v>0.65991094558496</v>
      </c>
      <c r="H21" s="200">
        <f>IF(SUM(B21)=0," ",VLOOKUP(F21,'Ballistics Table'!$B$4:$K$44,10)*(VLOOKUP(SUM(J21),Calculations!$G$21:$I$44,2)))</f>
        <v>0.15216072168393704</v>
      </c>
      <c r="I21" s="201">
        <f>IF(SUM(F21)=0," ",VLOOKUP(F21,'Ballistics Table'!$B$4:$P$44,14))</f>
        <v>0.05615884970900376</v>
      </c>
      <c r="J21" s="215">
        <f>VLOOKUP(Calculations!C140,Calculations!$N$136:$O$148,2)</f>
        <v>8</v>
      </c>
    </row>
    <row r="22" spans="1:10" ht="12.75">
      <c r="A22" s="94" t="s">
        <v>138</v>
      </c>
      <c r="B22" s="2">
        <v>694137</v>
      </c>
      <c r="C22" s="2">
        <v>5622615</v>
      </c>
      <c r="D22" s="203">
        <f t="shared" si="0"/>
        <v>85.56284240252891</v>
      </c>
      <c r="E22" s="152">
        <f t="shared" si="1"/>
        <v>93.69131243076916</v>
      </c>
      <c r="F22" s="198">
        <f>VLOOKUP((E22+('Cartridge Info'!$B$9/2)),'Ballistics Table'!$B$4:$B$44,1)</f>
        <v>109.36</v>
      </c>
      <c r="G22" s="199">
        <f>IF((E22+('Cartridge Info'!$B$9/2))&gt;'Ballistics Table'!$B$44,"Too Far",-VLOOKUP(COS('Cartridge Info'!$B$18*PI()/180)*(F22+'Cartridge Info'!$B$9/2),'Ballistics Table'!$B$4:$G$44,6))</f>
        <v>0</v>
      </c>
      <c r="H22" s="200">
        <f>IF(SUM(B22)=0," ",VLOOKUP(F22,'Ballistics Table'!$B$4:$K$44,10)*(VLOOKUP(SUM(J22),Calculations!$G$21:$I$44,2)))</f>
        <v>0.47902363738110976</v>
      </c>
      <c r="I22" s="201">
        <f>IF(SUM(F22)=0," ",VLOOKUP(F22,'Ballistics Table'!$B$4:$P$44,14))</f>
        <v>0.11396011820794669</v>
      </c>
      <c r="J22" s="215">
        <f>VLOOKUP(Calculations!C141,Calculations!$N$136:$O$148,2)</f>
        <v>8</v>
      </c>
    </row>
    <row r="23" spans="1:10" ht="12.75">
      <c r="A23" s="33">
        <v>16</v>
      </c>
      <c r="B23" s="93"/>
      <c r="C23" s="57"/>
      <c r="D23" s="153">
        <f t="shared" si="0"/>
        <v>0</v>
      </c>
      <c r="E23" s="152">
        <f t="shared" si="1"/>
        <v>0</v>
      </c>
      <c r="F23" s="198">
        <f>VLOOKUP((E23+('Cartridge Info'!$B$9/2)),'Ballistics Table'!$B$4:$B$44,1)</f>
        <v>0</v>
      </c>
      <c r="G23" s="199">
        <f>IF((E23+('Cartridge Info'!$B$9/2))&gt;'Ballistics Table'!$B$44,"Too Far",-VLOOKUP(COS('Cartridge Info'!$B$18*PI()/180)*(F23+'Cartridge Info'!$B$9/2),'Ballistics Table'!$B$4:$G$44,6))</f>
        <v>0</v>
      </c>
      <c r="H23" s="200" t="str">
        <f>IF(SUM(B23)=0," ",VLOOKUP(F23,'Ballistics Table'!$B$4:$K$44,10)*(VLOOKUP(SUM(J23),Calculations!$G$21:$I$44,2)))</f>
        <v> </v>
      </c>
      <c r="I23" s="201" t="str">
        <f>IF(SUM(F23)=0," ",VLOOKUP(F23,'Ballistics Table'!$B$4:$P$44,14))</f>
        <v> </v>
      </c>
      <c r="J23" s="215">
        <f>VLOOKUP(Calculations!C142,Calculations!$N$136:$O$148,2)</f>
        <v>12</v>
      </c>
    </row>
    <row r="24" spans="1:10" ht="12.75">
      <c r="A24" s="33">
        <v>17</v>
      </c>
      <c r="B24" s="2"/>
      <c r="C24" s="12"/>
      <c r="D24" s="153">
        <f t="shared" si="0"/>
        <v>0</v>
      </c>
      <c r="E24" s="152">
        <f t="shared" si="1"/>
        <v>0</v>
      </c>
      <c r="F24" s="198">
        <f>VLOOKUP((E24+('Cartridge Info'!$B$9/2)),'Ballistics Table'!$B$4:$B$44,1)</f>
        <v>0</v>
      </c>
      <c r="G24" s="199">
        <f>IF((E24+('Cartridge Info'!$B$9/2))&gt;'Ballistics Table'!$B$44,"Too Far",-VLOOKUP(COS('Cartridge Info'!$B$18*PI()/180)*(F24+'Cartridge Info'!$B$9/2),'Ballistics Table'!$B$4:$G$44,6))</f>
        <v>0</v>
      </c>
      <c r="H24" s="200" t="str">
        <f>IF(SUM(B24)=0," ",VLOOKUP(F24,'Ballistics Table'!$B$4:$K$44,10)*(VLOOKUP(SUM(J24),Calculations!$G$21:$I$44,2)))</f>
        <v> </v>
      </c>
      <c r="I24" s="201" t="str">
        <f>IF(SUM(F24)=0," ",VLOOKUP(F24,'Ballistics Table'!$B$4:$P$44,14))</f>
        <v> </v>
      </c>
      <c r="J24" s="215">
        <f>VLOOKUP(Calculations!C143,Calculations!$N$136:$O$148,2)</f>
        <v>12</v>
      </c>
    </row>
    <row r="25" spans="1:10" ht="12.75">
      <c r="A25" s="33">
        <v>18</v>
      </c>
      <c r="B25" s="2"/>
      <c r="C25" s="12"/>
      <c r="D25" s="153">
        <f t="shared" si="0"/>
        <v>0</v>
      </c>
      <c r="E25" s="152">
        <f t="shared" si="1"/>
        <v>0</v>
      </c>
      <c r="F25" s="198">
        <f>VLOOKUP((E25+('Cartridge Info'!$B$9/2)),'Ballistics Table'!$B$4:$B$44,1)</f>
        <v>0</v>
      </c>
      <c r="G25" s="199">
        <f>IF((E25+('Cartridge Info'!$B$9/2))&gt;'Ballistics Table'!$B$44,"Too Far",-VLOOKUP(COS('Cartridge Info'!$B$18*PI()/180)*(F25+'Cartridge Info'!$B$9/2),'Ballistics Table'!$B$4:$G$44,6))</f>
        <v>0</v>
      </c>
      <c r="H25" s="200" t="str">
        <f>IF(SUM(B25)=0," ",VLOOKUP(F25,'Ballistics Table'!$B$4:$K$44,10)*(VLOOKUP(SUM(J25),Calculations!$G$21:$I$44,2)))</f>
        <v> </v>
      </c>
      <c r="I25" s="201" t="str">
        <f>IF(SUM(F25)=0," ",VLOOKUP(F25,'Ballistics Table'!$B$4:$P$44,14))</f>
        <v> </v>
      </c>
      <c r="J25" s="215">
        <f>VLOOKUP(Calculations!C144,Calculations!$N$136:$O$148,2)</f>
        <v>12</v>
      </c>
    </row>
    <row r="26" spans="1:10" ht="12.75">
      <c r="A26" s="33">
        <v>19</v>
      </c>
      <c r="B26" s="2"/>
      <c r="C26" s="12"/>
      <c r="D26" s="153">
        <f t="shared" si="0"/>
        <v>0</v>
      </c>
      <c r="E26" s="152">
        <f t="shared" si="1"/>
        <v>0</v>
      </c>
      <c r="F26" s="198">
        <f>VLOOKUP((E26+('Cartridge Info'!$B$9/2)),'Ballistics Table'!$B$4:$B$44,1)</f>
        <v>0</v>
      </c>
      <c r="G26" s="199">
        <f>IF((E26+('Cartridge Info'!$B$9/2))&gt;'Ballistics Table'!$B$44,"Too Far",-VLOOKUP(COS('Cartridge Info'!$B$18*PI()/180)*(F26+'Cartridge Info'!$B$9/2),'Ballistics Table'!$B$4:$G$44,6))</f>
        <v>0</v>
      </c>
      <c r="H26" s="200" t="str">
        <f>IF(SUM(B26)=0," ",VLOOKUP(F26,'Ballistics Table'!$B$4:$K$44,10)*(VLOOKUP(SUM(J26),Calculations!$G$21:$I$44,2)))</f>
        <v> </v>
      </c>
      <c r="I26" s="201" t="str">
        <f>IF(SUM(F26)=0," ",VLOOKUP(F26,'Ballistics Table'!$B$4:$P$44,14))</f>
        <v> </v>
      </c>
      <c r="J26" s="215">
        <f>VLOOKUP(Calculations!C145,Calculations!$N$136:$O$148,2)</f>
        <v>12</v>
      </c>
    </row>
    <row r="27" spans="1:10" ht="12.75">
      <c r="A27" s="33">
        <v>20</v>
      </c>
      <c r="B27" s="2"/>
      <c r="C27" s="12"/>
      <c r="D27" s="153">
        <f t="shared" si="0"/>
        <v>0</v>
      </c>
      <c r="E27" s="152">
        <f t="shared" si="1"/>
        <v>0</v>
      </c>
      <c r="F27" s="198">
        <f>VLOOKUP((E27+('Cartridge Info'!$B$9/2)),'Ballistics Table'!$B$4:$B$44,1)</f>
        <v>0</v>
      </c>
      <c r="G27" s="199">
        <f>IF((E27+('Cartridge Info'!$B$9/2))&gt;'Ballistics Table'!$B$44,"Too Far",-VLOOKUP(COS('Cartridge Info'!$B$18*PI()/180)*(F27+'Cartridge Info'!$B$9/2),'Ballistics Table'!$B$4:$G$44,6))</f>
        <v>0</v>
      </c>
      <c r="H27" s="200" t="str">
        <f>IF(SUM(B27)=0," ",VLOOKUP(F27,'Ballistics Table'!$B$4:$K$44,10)*(VLOOKUP(SUM(J27),Calculations!$G$21:$I$44,2)))</f>
        <v> </v>
      </c>
      <c r="I27" s="201" t="str">
        <f>IF(SUM(F27)=0," ",VLOOKUP(F27,'Ballistics Table'!$B$4:$P$44,14))</f>
        <v> </v>
      </c>
      <c r="J27" s="215">
        <f>VLOOKUP(Calculations!C146,Calculations!$N$136:$O$148,2)</f>
        <v>12</v>
      </c>
    </row>
    <row r="28" spans="1:10" ht="12.75">
      <c r="A28" s="33">
        <v>21</v>
      </c>
      <c r="B28" s="2"/>
      <c r="C28" s="12"/>
      <c r="D28" s="153">
        <f t="shared" si="0"/>
        <v>0</v>
      </c>
      <c r="E28" s="152">
        <f t="shared" si="1"/>
        <v>0</v>
      </c>
      <c r="F28" s="198">
        <f>VLOOKUP((E28+('Cartridge Info'!$B$9/2)),'Ballistics Table'!$B$4:$B$44,1)</f>
        <v>0</v>
      </c>
      <c r="G28" s="199">
        <f>IF((E28+('Cartridge Info'!$B$9/2))&gt;'Ballistics Table'!$B$44,"Too Far",-VLOOKUP(COS('Cartridge Info'!$B$18*PI()/180)*(F28+'Cartridge Info'!$B$9/2),'Ballistics Table'!$B$4:$G$44,6))</f>
        <v>0</v>
      </c>
      <c r="H28" s="200" t="str">
        <f>IF(SUM(B28)=0," ",VLOOKUP(F28,'Ballistics Table'!$B$4:$K$44,10)*(VLOOKUP(SUM(J28),Calculations!$G$21:$I$44,2)))</f>
        <v> </v>
      </c>
      <c r="I28" s="201" t="str">
        <f>IF(SUM(F28)=0," ",VLOOKUP(F28,'Ballistics Table'!$B$4:$P$44,14))</f>
        <v> </v>
      </c>
      <c r="J28" s="215">
        <f>VLOOKUP(Calculations!C147,Calculations!$N$136:$O$148,2)</f>
        <v>12</v>
      </c>
    </row>
    <row r="29" spans="1:10" ht="12.75">
      <c r="A29" s="33">
        <v>22</v>
      </c>
      <c r="B29" s="2"/>
      <c r="C29" s="12"/>
      <c r="D29" s="153">
        <f t="shared" si="0"/>
        <v>0</v>
      </c>
      <c r="E29" s="152">
        <f t="shared" si="1"/>
        <v>0</v>
      </c>
      <c r="F29" s="198">
        <f>VLOOKUP((E29+('Cartridge Info'!$B$9/2)),'Ballistics Table'!$B$4:$B$44,1)</f>
        <v>0</v>
      </c>
      <c r="G29" s="199">
        <f>IF((E29+('Cartridge Info'!$B$9/2))&gt;'Ballistics Table'!$B$44,"Too Far",-VLOOKUP(COS('Cartridge Info'!$B$18*PI()/180)*(F29+'Cartridge Info'!$B$9/2),'Ballistics Table'!$B$4:$G$44,6))</f>
        <v>0</v>
      </c>
      <c r="H29" s="200" t="str">
        <f>IF(SUM(B29)=0," ",VLOOKUP(F29,'Ballistics Table'!$B$4:$K$44,10)*(VLOOKUP(SUM(J29),Calculations!$G$21:$I$44,2)))</f>
        <v> </v>
      </c>
      <c r="I29" s="201" t="str">
        <f>IF(SUM(F29)=0," ",VLOOKUP(F29,'Ballistics Table'!$B$4:$P$44,14))</f>
        <v> </v>
      </c>
      <c r="J29" s="215">
        <f>VLOOKUP(Calculations!C148,Calculations!$N$136:$O$148,2)</f>
        <v>12</v>
      </c>
    </row>
    <row r="30" spans="1:10" ht="12.75">
      <c r="A30" s="95">
        <v>23</v>
      </c>
      <c r="B30" s="8"/>
      <c r="C30" s="96"/>
      <c r="D30" s="204">
        <f t="shared" si="0"/>
        <v>0</v>
      </c>
      <c r="E30" s="205">
        <f t="shared" si="1"/>
        <v>0</v>
      </c>
      <c r="F30" s="206">
        <f>VLOOKUP((E30+('Cartridge Info'!$B$9/2)),'Ballistics Table'!$B$4:$B$44,1)</f>
        <v>0</v>
      </c>
      <c r="G30" s="207">
        <f>IF((E30+('Cartridge Info'!$B$9/2))&gt;'Ballistics Table'!$B$44,"Too Far",-VLOOKUP(COS('Cartridge Info'!$B$18*PI()/180)*(F30+'Cartridge Info'!$B$9/2),'Ballistics Table'!$B$4:$G$44,6))</f>
        <v>0</v>
      </c>
      <c r="H30" s="208" t="str">
        <f>IF(SUM(B30)=0," ",VLOOKUP(F30,'Ballistics Table'!$B$4:$K$44,10)*(VLOOKUP(SUM(J30),Calculations!$G$21:$I$44,2)))</f>
        <v> </v>
      </c>
      <c r="I30" s="201" t="str">
        <f>IF(SUM(F30)=0," ",VLOOKUP(F30,'Ballistics Table'!$B$4:$P$44,14))</f>
        <v> </v>
      </c>
      <c r="J30" s="216">
        <f>VLOOKUP(Calculations!C149,Calculations!$N$136:$O$148,2)</f>
        <v>12</v>
      </c>
    </row>
    <row r="31" spans="1:10" ht="12.75">
      <c r="A31" s="97">
        <v>24</v>
      </c>
      <c r="B31" s="2"/>
      <c r="C31" s="12"/>
      <c r="D31" s="158">
        <f t="shared" si="0"/>
        <v>0</v>
      </c>
      <c r="E31" s="157">
        <f t="shared" si="1"/>
        <v>0</v>
      </c>
      <c r="F31" s="198">
        <f>VLOOKUP((E31+('Cartridge Info'!$B$9/2)),'Ballistics Table'!$B$4:$B$44,1)</f>
        <v>0</v>
      </c>
      <c r="G31" s="199">
        <f>IF((E31+('Cartridge Info'!$B$9/2))&gt;'Ballistics Table'!$B$44,"Too Far",-VLOOKUP(COS('Cartridge Info'!$B$18*PI()/180)*(F31+'Cartridge Info'!$B$9/2),'Ballistics Table'!$B$4:$G$44,6))</f>
        <v>0</v>
      </c>
      <c r="H31" s="209" t="str">
        <f>IF(SUM(B31)=0," ",VLOOKUP(F31,'Ballistics Table'!$B$4:$K$44,10)*(VLOOKUP(SUM(J31),Calculations!$G$21:$I$44,2)))</f>
        <v> </v>
      </c>
      <c r="I31" s="201" t="str">
        <f>IF(SUM(F31)=0," ",VLOOKUP(F31,'Ballistics Table'!$B$4:$P$44,14))</f>
        <v> </v>
      </c>
      <c r="J31" s="215">
        <f>VLOOKUP(Calculations!C150,Calculations!$N$136:$O$148,2)</f>
        <v>12</v>
      </c>
    </row>
    <row r="32" spans="1:10" ht="12.75">
      <c r="A32" s="97">
        <v>25</v>
      </c>
      <c r="B32" s="2"/>
      <c r="C32" s="12"/>
      <c r="D32" s="158">
        <f t="shared" si="0"/>
        <v>0</v>
      </c>
      <c r="E32" s="157">
        <f t="shared" si="1"/>
        <v>0</v>
      </c>
      <c r="F32" s="198">
        <f>VLOOKUP((E32+('Cartridge Info'!$B$9/2)),'Ballistics Table'!$B$4:$B$44,1)</f>
        <v>0</v>
      </c>
      <c r="G32" s="199">
        <f>IF((E32+('Cartridge Info'!$B$9/2))&gt;'Ballistics Table'!$B$44,"Too Far",-VLOOKUP(COS('Cartridge Info'!$B$18*PI()/180)*(F32+'Cartridge Info'!$B$9/2),'Ballistics Table'!$B$4:$G$44,6))</f>
        <v>0</v>
      </c>
      <c r="H32" s="209" t="str">
        <f>IF(SUM(B32)=0," ",VLOOKUP(F32,'Ballistics Table'!$B$4:$K$44,10)*(VLOOKUP(SUM(J32),Calculations!$G$21:$I$44,2)))</f>
        <v> </v>
      </c>
      <c r="I32" s="201" t="str">
        <f>IF(SUM(F32)=0," ",VLOOKUP(F32,'Ballistics Table'!$B$4:$P$44,14))</f>
        <v> </v>
      </c>
      <c r="J32" s="215">
        <f>VLOOKUP(Calculations!C151,Calculations!$N$136:$O$148,2)</f>
        <v>12</v>
      </c>
    </row>
    <row r="33" spans="1:10" ht="12.75">
      <c r="A33" s="97">
        <v>26</v>
      </c>
      <c r="B33" s="2"/>
      <c r="C33" s="12"/>
      <c r="D33" s="158">
        <f t="shared" si="0"/>
        <v>0</v>
      </c>
      <c r="E33" s="157">
        <f t="shared" si="1"/>
        <v>0</v>
      </c>
      <c r="F33" s="198">
        <f>VLOOKUP((E33+('Cartridge Info'!$B$9/2)),'Ballistics Table'!$B$4:$B$44,1)</f>
        <v>0</v>
      </c>
      <c r="G33" s="199">
        <f>IF((E33+('Cartridge Info'!$B$9/2))&gt;'Ballistics Table'!$B$44,"Too Far",-VLOOKUP(COS('Cartridge Info'!$B$18*PI()/180)*(F33+'Cartridge Info'!$B$9/2),'Ballistics Table'!$B$4:$G$44,6))</f>
        <v>0</v>
      </c>
      <c r="H33" s="209" t="str">
        <f>IF(SUM(B33)=0," ",VLOOKUP(F33,'Ballistics Table'!$B$4:$K$44,10)*(VLOOKUP(SUM(J33),Calculations!$G$21:$I$44,2)))</f>
        <v> </v>
      </c>
      <c r="I33" s="201" t="str">
        <f>IF(SUM(F33)=0," ",VLOOKUP(F33,'Ballistics Table'!$B$4:$P$44,14))</f>
        <v> </v>
      </c>
      <c r="J33" s="215">
        <f>VLOOKUP(Calculations!C152,Calculations!$N$136:$O$148,2)</f>
        <v>12</v>
      </c>
    </row>
    <row r="34" spans="1:10" ht="12.75">
      <c r="A34" s="97">
        <v>27</v>
      </c>
      <c r="B34" s="2"/>
      <c r="C34" s="12"/>
      <c r="D34" s="158">
        <f t="shared" si="0"/>
        <v>0</v>
      </c>
      <c r="E34" s="157">
        <f t="shared" si="1"/>
        <v>0</v>
      </c>
      <c r="F34" s="198">
        <f>VLOOKUP((E34+('Cartridge Info'!$B$9/2)),'Ballistics Table'!$B$4:$B$44,1)</f>
        <v>0</v>
      </c>
      <c r="G34" s="199">
        <f>IF((E34+('Cartridge Info'!$B$9/2))&gt;'Ballistics Table'!$B$44,"Too Far",-VLOOKUP(COS('Cartridge Info'!$B$18*PI()/180)*(F34+'Cartridge Info'!$B$9/2),'Ballistics Table'!$B$4:$G$44,6))</f>
        <v>0</v>
      </c>
      <c r="H34" s="209" t="str">
        <f>IF(SUM(B34)=0," ",VLOOKUP(F34,'Ballistics Table'!$B$4:$K$44,10)*(VLOOKUP(SUM(J34),Calculations!$G$21:$I$44,2)))</f>
        <v> </v>
      </c>
      <c r="I34" s="201" t="str">
        <f>IF(SUM(F34)=0," ",VLOOKUP(F34,'Ballistics Table'!$B$4:$P$44,14))</f>
        <v> </v>
      </c>
      <c r="J34" s="215">
        <f>VLOOKUP(Calculations!C153,Calculations!$N$136:$O$148,2)</f>
        <v>12</v>
      </c>
    </row>
    <row r="35" spans="1:10" ht="12.75">
      <c r="A35" s="97">
        <v>28</v>
      </c>
      <c r="B35" s="2"/>
      <c r="C35" s="12"/>
      <c r="D35" s="158">
        <f t="shared" si="0"/>
        <v>0</v>
      </c>
      <c r="E35" s="157">
        <f t="shared" si="1"/>
        <v>0</v>
      </c>
      <c r="F35" s="198">
        <f>VLOOKUP((E35+('Cartridge Info'!$B$9/2)),'Ballistics Table'!$B$4:$B$44,1)</f>
        <v>0</v>
      </c>
      <c r="G35" s="199">
        <f>IF((E35+('Cartridge Info'!$B$9/2))&gt;'Ballistics Table'!$B$44,"Too Far",-VLOOKUP(COS('Cartridge Info'!$B$18*PI()/180)*(F35+'Cartridge Info'!$B$9/2),'Ballistics Table'!$B$4:$G$44,6))</f>
        <v>0</v>
      </c>
      <c r="H35" s="209" t="str">
        <f>IF(SUM(B35)=0," ",VLOOKUP(F35,'Ballistics Table'!$B$4:$K$44,10)*(VLOOKUP(SUM(J35),Calculations!$G$21:$I$44,2)))</f>
        <v> </v>
      </c>
      <c r="I35" s="201" t="str">
        <f>IF(SUM(F35)=0," ",VLOOKUP(F35,'Ballistics Table'!$B$4:$P$44,14))</f>
        <v> </v>
      </c>
      <c r="J35" s="215">
        <f>VLOOKUP(Calculations!C154,Calculations!$N$136:$O$148,2)</f>
        <v>12</v>
      </c>
    </row>
    <row r="36" spans="1:10" ht="12.75">
      <c r="A36" s="97">
        <v>29</v>
      </c>
      <c r="B36" s="2">
        <v>694137</v>
      </c>
      <c r="C36" s="12">
        <v>5622615</v>
      </c>
      <c r="D36" s="158">
        <f t="shared" si="0"/>
        <v>85.56284240252891</v>
      </c>
      <c r="E36" s="157">
        <f t="shared" si="1"/>
        <v>93.69131243076916</v>
      </c>
      <c r="F36" s="198">
        <f>VLOOKUP((E36+('Cartridge Info'!$B$9/2)),'Ballistics Table'!$B$4:$B$44,1)</f>
        <v>109.36</v>
      </c>
      <c r="G36" s="199">
        <f>IF((E36+('Cartridge Info'!$B$9/2))&gt;'Ballistics Table'!$B$44,"Too Far",-VLOOKUP(COS('Cartridge Info'!$B$18*PI()/180)*(F36+'Cartridge Info'!$B$9/2),'Ballistics Table'!$B$4:$G$44,6))</f>
        <v>0</v>
      </c>
      <c r="H36" s="209">
        <f>IF(SUM(B36)=0," ",VLOOKUP(F36,'Ballistics Table'!$B$4:$K$44,10)*(VLOOKUP(SUM(J36),Calculations!$G$21:$I$44,2)))</f>
        <v>0.47902363738110976</v>
      </c>
      <c r="I36" s="201">
        <f>IF(SUM(F36)=0," ",VLOOKUP(F36,'Ballistics Table'!$B$4:$P$44,14))</f>
        <v>0.11396011820794669</v>
      </c>
      <c r="J36" s="215">
        <f>VLOOKUP(Calculations!C155,Calculations!$N$136:$O$148,2)</f>
        <v>8</v>
      </c>
    </row>
    <row r="37" spans="1:10" ht="13.5" thickBot="1">
      <c r="A37" s="98">
        <v>30</v>
      </c>
      <c r="B37" s="6">
        <v>694137</v>
      </c>
      <c r="C37" s="13">
        <v>5622615</v>
      </c>
      <c r="D37" s="210">
        <f t="shared" si="0"/>
        <v>85.56284240252891</v>
      </c>
      <c r="E37" s="161">
        <f t="shared" si="1"/>
        <v>93.69131243076916</v>
      </c>
      <c r="F37" s="211">
        <f>VLOOKUP((E37+('Cartridge Info'!$B$9/2)),'Ballistics Table'!$B$4:$B$44,1)</f>
        <v>109.36</v>
      </c>
      <c r="G37" s="212">
        <f>IF((E37+('Cartridge Info'!$B$9/2))&gt;'Ballistics Table'!$B$44,"Too Far",-VLOOKUP(COS('Cartridge Info'!$B$18*PI()/180)*(F37+'Cartridge Info'!$B$9/2),'Ballistics Table'!$B$4:$G$44,6))</f>
        <v>0</v>
      </c>
      <c r="H37" s="213">
        <f>IF(SUM(B37)=0," ",VLOOKUP(F37,'Ballistics Table'!$B$4:$K$44,10)*(VLOOKUP(SUM(J37),Calculations!$G$21:$I$44,2)))</f>
        <v>0.47902363738110976</v>
      </c>
      <c r="I37" s="214">
        <f>IF(SUM(F37)=0," ",VLOOKUP(F37,'Ballistics Table'!$B$4:$P$44,14))</f>
        <v>0.11396011820794669</v>
      </c>
      <c r="J37" s="215">
        <f>VLOOKUP(Calculations!C156,Calculations!$N$136:$O$148,2)</f>
        <v>8</v>
      </c>
    </row>
  </sheetData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P51"/>
  <sheetViews>
    <sheetView workbookViewId="0" topLeftCell="A1">
      <selection activeCell="I4" sqref="I4"/>
    </sheetView>
  </sheetViews>
  <sheetFormatPr defaultColWidth="9.00390625" defaultRowHeight="12.75"/>
  <cols>
    <col min="1" max="16" width="5.25390625" style="69" customWidth="1"/>
    <col min="17" max="18" width="8.875" style="69" customWidth="1"/>
    <col min="19" max="19" width="9.375" style="69" customWidth="1"/>
    <col min="20" max="20" width="10.875" style="69" customWidth="1"/>
    <col min="21" max="16384" width="8.875" style="69" customWidth="1"/>
  </cols>
  <sheetData>
    <row r="1" spans="1:8" ht="18.75" thickBot="1">
      <c r="A1" s="124" t="s">
        <v>224</v>
      </c>
      <c r="B1" s="26"/>
      <c r="C1" s="26"/>
      <c r="D1" s="76"/>
      <c r="E1" s="26"/>
      <c r="F1" s="71"/>
      <c r="G1" s="70"/>
      <c r="H1" s="70"/>
    </row>
    <row r="2" spans="1:4" ht="12" thickBot="1">
      <c r="A2" s="72"/>
      <c r="B2" s="70"/>
      <c r="C2" s="70"/>
      <c r="D2" s="70"/>
    </row>
    <row r="3" spans="2:5" ht="12" thickBot="1">
      <c r="B3" s="261" t="s">
        <v>225</v>
      </c>
      <c r="C3" s="73"/>
      <c r="D3" s="85" t="s">
        <v>180</v>
      </c>
      <c r="E3" s="83"/>
    </row>
    <row r="4" spans="2:9" ht="11.25">
      <c r="B4" s="262" t="s">
        <v>226</v>
      </c>
      <c r="C4" s="74"/>
      <c r="D4" s="86">
        <v>308</v>
      </c>
      <c r="E4" s="87"/>
      <c r="G4" s="103" t="s">
        <v>233</v>
      </c>
      <c r="H4" s="77"/>
      <c r="I4" s="83">
        <v>155</v>
      </c>
    </row>
    <row r="5" spans="2:9" ht="12" thickBot="1">
      <c r="B5" s="262" t="s">
        <v>227</v>
      </c>
      <c r="C5" s="74"/>
      <c r="D5" s="86" t="s">
        <v>180</v>
      </c>
      <c r="E5" s="87"/>
      <c r="G5" s="123" t="s">
        <v>234</v>
      </c>
      <c r="H5" s="78"/>
      <c r="I5" s="84">
        <v>2650</v>
      </c>
    </row>
    <row r="6" spans="2:7" ht="11.25">
      <c r="B6" s="262" t="s">
        <v>228</v>
      </c>
      <c r="C6" s="74"/>
      <c r="D6" s="86" t="s">
        <v>180</v>
      </c>
      <c r="E6" s="87"/>
      <c r="G6" s="264"/>
    </row>
    <row r="7" spans="2:7" ht="12" thickBot="1">
      <c r="B7" s="263" t="s">
        <v>206</v>
      </c>
      <c r="C7" s="75"/>
      <c r="D7" s="88">
        <v>500</v>
      </c>
      <c r="E7" s="84"/>
      <c r="G7" s="264"/>
    </row>
    <row r="8" spans="7:9" ht="12" thickBot="1">
      <c r="G8" s="117" t="s">
        <v>235</v>
      </c>
      <c r="H8" s="79"/>
      <c r="I8" s="265">
        <v>1.0472</v>
      </c>
    </row>
    <row r="9" spans="2:16" ht="12" thickBot="1">
      <c r="B9" s="266" t="s">
        <v>229</v>
      </c>
      <c r="C9" s="267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9"/>
    </row>
    <row r="10" spans="1:16" ht="12" thickBot="1">
      <c r="A10" s="267" t="s">
        <v>44</v>
      </c>
      <c r="B10" s="150">
        <v>-20</v>
      </c>
      <c r="C10" s="132">
        <v>-10</v>
      </c>
      <c r="D10" s="146">
        <v>0</v>
      </c>
      <c r="E10" s="146">
        <v>10</v>
      </c>
      <c r="F10" s="146">
        <v>20</v>
      </c>
      <c r="G10" s="146">
        <v>30</v>
      </c>
      <c r="H10" s="146">
        <v>40</v>
      </c>
      <c r="I10" s="146">
        <v>50</v>
      </c>
      <c r="J10" s="146">
        <v>60</v>
      </c>
      <c r="K10" s="146">
        <v>70</v>
      </c>
      <c r="L10" s="146">
        <v>80</v>
      </c>
      <c r="M10" s="146">
        <v>90</v>
      </c>
      <c r="N10" s="146">
        <v>100</v>
      </c>
      <c r="O10" s="146">
        <v>110</v>
      </c>
      <c r="P10" s="151">
        <v>120</v>
      </c>
    </row>
    <row r="11" spans="1:16" ht="11.25">
      <c r="A11" s="270">
        <v>25</v>
      </c>
      <c r="B11" s="89">
        <v>2.659730307036144</v>
      </c>
      <c r="C11" s="90">
        <v>2.65340594351724</v>
      </c>
      <c r="D11" s="90">
        <v>2.6725822613267347</v>
      </c>
      <c r="E11" s="90">
        <v>2.651222763990387</v>
      </c>
      <c r="F11" s="90">
        <v>2.65352948589687</v>
      </c>
      <c r="G11" s="90">
        <v>2.6586931715314535</v>
      </c>
      <c r="H11" s="90">
        <v>2.6666905296192933</v>
      </c>
      <c r="I11" s="90">
        <v>2.6757797870037137</v>
      </c>
      <c r="J11" s="90">
        <v>2.6893802667390982</v>
      </c>
      <c r="K11" s="90">
        <v>2.6801728594540712</v>
      </c>
      <c r="L11" s="90">
        <v>2.672878540977996</v>
      </c>
      <c r="M11" s="90">
        <v>2.6675086903148095</v>
      </c>
      <c r="N11" s="90">
        <v>2.6640714650986386</v>
      </c>
      <c r="O11" s="90">
        <v>2.688115071478794</v>
      </c>
      <c r="P11" s="90">
        <v>2.688802841857991</v>
      </c>
    </row>
    <row r="12" spans="1:16" ht="11.25">
      <c r="A12" s="271">
        <v>50</v>
      </c>
      <c r="B12" s="91">
        <v>0.33495086630776466</v>
      </c>
      <c r="C12" s="92">
        <v>0.3105914515120322</v>
      </c>
      <c r="D12" s="92">
        <v>0.33129600106822826</v>
      </c>
      <c r="E12" s="92">
        <v>0.33182044008113604</v>
      </c>
      <c r="F12" s="92">
        <v>0.33428579718784246</v>
      </c>
      <c r="G12" s="92">
        <v>0.3386778271630978</v>
      </c>
      <c r="H12" s="92">
        <v>0.34497721681019733</v>
      </c>
      <c r="I12" s="92">
        <v>0.3284533111121494</v>
      </c>
      <c r="J12" s="92">
        <v>0.33814494741375933</v>
      </c>
      <c r="K12" s="92">
        <v>0.3485271596101634</v>
      </c>
      <c r="L12" s="92">
        <v>0.335904829964761</v>
      </c>
      <c r="M12" s="92">
        <v>0.3496406947463096</v>
      </c>
      <c r="N12" s="92">
        <v>0.3394261527408968</v>
      </c>
      <c r="O12" s="92">
        <v>0.3564568190589689</v>
      </c>
      <c r="P12" s="92">
        <v>0.3486461599065412</v>
      </c>
    </row>
    <row r="13" spans="1:16" ht="11.25">
      <c r="A13" s="271">
        <v>75</v>
      </c>
      <c r="B13" s="91">
        <v>0.0734173165933353</v>
      </c>
      <c r="C13" s="92">
        <v>0.09626329960202878</v>
      </c>
      <c r="D13" s="92">
        <v>0.07441030237592346</v>
      </c>
      <c r="E13" s="92">
        <v>0.07369913011790004</v>
      </c>
      <c r="F13" s="92">
        <v>0.07200598796839143</v>
      </c>
      <c r="G13" s="92">
        <v>0.06933984093977155</v>
      </c>
      <c r="H13" s="92">
        <v>0.06571223661954552</v>
      </c>
      <c r="I13" s="92">
        <v>0.08584360761126082</v>
      </c>
      <c r="J13" s="92">
        <v>0.05611511434256496</v>
      </c>
      <c r="K13" s="92">
        <v>0.07521457384538462</v>
      </c>
      <c r="L13" s="92">
        <v>0.0687610967709721</v>
      </c>
      <c r="M13" s="92">
        <v>0.0872628528896144</v>
      </c>
      <c r="N13" s="92">
        <v>0.07937462105765188</v>
      </c>
      <c r="O13" s="92">
        <v>0.07053403911130363</v>
      </c>
      <c r="P13" s="92">
        <v>0.0607607742623309</v>
      </c>
    </row>
    <row r="14" spans="1:16" ht="11.25">
      <c r="A14" s="271">
        <v>100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</row>
    <row r="15" spans="1:16" ht="11.25">
      <c r="A15" s="271">
        <v>125</v>
      </c>
      <c r="B15" s="91">
        <v>0.2890057538279728</v>
      </c>
      <c r="C15" s="92">
        <v>0.2671881648992136</v>
      </c>
      <c r="D15" s="92">
        <v>0.2892097474921091</v>
      </c>
      <c r="E15" s="92">
        <v>0.2880682971490079</v>
      </c>
      <c r="F15" s="92">
        <v>0.28590274224574824</v>
      </c>
      <c r="G15" s="92">
        <v>0.28272461405252713</v>
      </c>
      <c r="H15" s="92">
        <v>0.30347758199236174</v>
      </c>
      <c r="I15" s="92">
        <v>0.2739750244457357</v>
      </c>
      <c r="J15" s="92">
        <v>0.2936035884404819</v>
      </c>
      <c r="K15" s="92">
        <v>0.28751698430697753</v>
      </c>
      <c r="L15" s="92">
        <v>0.2804380765103611</v>
      </c>
      <c r="M15" s="92">
        <v>0.27238579160758997</v>
      </c>
      <c r="N15" s="92">
        <v>0.26338142612548604</v>
      </c>
      <c r="O15" s="92">
        <v>0.28139165396025356</v>
      </c>
      <c r="P15" s="92">
        <v>0.2708983993210754</v>
      </c>
    </row>
    <row r="16" spans="1:16" ht="11.25">
      <c r="A16" s="271">
        <v>150</v>
      </c>
      <c r="B16" s="91">
        <v>0.6750299401397516</v>
      </c>
      <c r="C16" s="92">
        <v>0.6760493731071219</v>
      </c>
      <c r="D16" s="92">
        <v>0.6737930482010884</v>
      </c>
      <c r="E16" s="92">
        <v>0.670625390624996</v>
      </c>
      <c r="F16" s="92">
        <v>0.6653915869131074</v>
      </c>
      <c r="G16" s="92">
        <v>0.6831949202285204</v>
      </c>
      <c r="H16" s="92">
        <v>0.6742932110963648</v>
      </c>
      <c r="I16" s="92">
        <v>0.6646067851970805</v>
      </c>
      <c r="J16" s="92">
        <v>0.678094867670386</v>
      </c>
      <c r="K16" s="92">
        <v>0.6648595552462149</v>
      </c>
      <c r="L16" s="92">
        <v>0.6496451800159369</v>
      </c>
      <c r="M16" s="92">
        <v>0.6601753530028834</v>
      </c>
      <c r="N16" s="92">
        <v>0.6414886384671693</v>
      </c>
      <c r="O16" s="92">
        <v>0.6494363185814255</v>
      </c>
      <c r="P16" s="92">
        <v>0.6563272380224968</v>
      </c>
    </row>
    <row r="17" spans="1:16" ht="11.25">
      <c r="A17" s="271">
        <v>175</v>
      </c>
      <c r="B17" s="91">
        <v>1.1386431230331022</v>
      </c>
      <c r="C17" s="92">
        <v>1.115519813630423</v>
      </c>
      <c r="D17" s="92">
        <v>1.1352190066276104</v>
      </c>
      <c r="E17" s="92">
        <v>1.129604036948062</v>
      </c>
      <c r="F17" s="92">
        <v>1.1208409547942546</v>
      </c>
      <c r="G17" s="92">
        <v>1.1346286522000066</v>
      </c>
      <c r="H17" s="92">
        <v>1.1200823854895874</v>
      </c>
      <c r="I17" s="92">
        <v>1.104279966210473</v>
      </c>
      <c r="J17" s="92">
        <v>1.1106234802408879</v>
      </c>
      <c r="K17" s="92">
        <v>1.1166308740465343</v>
      </c>
      <c r="L17" s="92">
        <v>1.0926610563380703</v>
      </c>
      <c r="M17" s="92">
        <v>1.094006195726009</v>
      </c>
      <c r="N17" s="92">
        <v>1.0932815857845266</v>
      </c>
      <c r="O17" s="92">
        <v>1.09049875148985</v>
      </c>
      <c r="P17" s="92">
        <v>1.1152893929661125</v>
      </c>
    </row>
    <row r="18" spans="1:16" ht="11.25">
      <c r="A18" s="271">
        <v>200</v>
      </c>
      <c r="B18" s="91">
        <v>1.6503961047844216</v>
      </c>
      <c r="C18" s="92">
        <v>1.6490084870106152</v>
      </c>
      <c r="D18" s="92">
        <v>1.627939039696912</v>
      </c>
      <c r="E18" s="92">
        <v>1.6190130104288378</v>
      </c>
      <c r="F18" s="92">
        <v>1.6316233354936363</v>
      </c>
      <c r="G18" s="92">
        <v>1.614668547370677</v>
      </c>
      <c r="H18" s="92">
        <v>1.6202071321457912</v>
      </c>
      <c r="I18" s="92">
        <v>1.597758917157362</v>
      </c>
      <c r="J18" s="92">
        <v>1.6239517823618452</v>
      </c>
      <c r="K18" s="92">
        <v>1.5942213922255097</v>
      </c>
      <c r="L18" s="92">
        <v>1.5888873826198675</v>
      </c>
      <c r="M18" s="92">
        <v>1.580430133382815</v>
      </c>
      <c r="N18" s="92">
        <v>1.598208084447366</v>
      </c>
      <c r="O18" s="92">
        <v>1.5840000371803762</v>
      </c>
      <c r="P18" s="92">
        <v>1.596953768969291</v>
      </c>
    </row>
    <row r="19" spans="1:16" ht="11.25">
      <c r="A19" s="271">
        <v>225</v>
      </c>
      <c r="B19" s="91">
        <v>2.2104616235521295</v>
      </c>
      <c r="C19" s="92">
        <v>2.178991867197029</v>
      </c>
      <c r="D19" s="92">
        <v>2.1901896584337885</v>
      </c>
      <c r="E19" s="92">
        <v>2.1742442955988848</v>
      </c>
      <c r="F19" s="92">
        <v>2.18012233442322</v>
      </c>
      <c r="G19" s="92">
        <v>2.1548473434443447</v>
      </c>
      <c r="H19" s="92">
        <v>2.1523299971060292</v>
      </c>
      <c r="I19" s="92">
        <v>2.1490516493930367</v>
      </c>
      <c r="J19" s="92">
        <v>2.1239057260285272</v>
      </c>
      <c r="K19" s="92">
        <v>2.1129758747410987</v>
      </c>
      <c r="L19" s="92">
        <v>2.126839693278625</v>
      </c>
      <c r="M19" s="92">
        <v>2.107945110527355</v>
      </c>
      <c r="N19" s="92">
        <v>2.11482360198565</v>
      </c>
      <c r="O19" s="92">
        <v>2.088125888739235</v>
      </c>
      <c r="P19" s="92">
        <v>2.1189040484080524</v>
      </c>
    </row>
    <row r="20" spans="1:16" ht="11.25">
      <c r="A20" s="271">
        <v>250</v>
      </c>
      <c r="B20" s="91">
        <v>2.7998395601629578</v>
      </c>
      <c r="C20" s="92">
        <v>2.788372266740396</v>
      </c>
      <c r="D20" s="92">
        <v>2.766203389882331</v>
      </c>
      <c r="E20" s="92">
        <v>2.7694985053420442</v>
      </c>
      <c r="F20" s="92">
        <v>2.7397752401841045</v>
      </c>
      <c r="G20" s="92">
        <v>2.732140440471046</v>
      </c>
      <c r="H20" s="92">
        <v>2.7194051570169195</v>
      </c>
      <c r="I20" s="92">
        <v>2.7057354215430762</v>
      </c>
      <c r="J20" s="92">
        <v>2.7122345370272134</v>
      </c>
      <c r="K20" s="92">
        <v>2.689076553902341</v>
      </c>
      <c r="L20" s="92">
        <v>2.6910184144590437</v>
      </c>
      <c r="M20" s="92">
        <v>2.6586187487760085</v>
      </c>
      <c r="N20" s="92">
        <v>2.65223330755205</v>
      </c>
      <c r="O20" s="92">
        <v>2.673070187709493</v>
      </c>
      <c r="P20" s="92">
        <v>2.659367164401199</v>
      </c>
    </row>
    <row r="21" spans="1:16" ht="11.25">
      <c r="A21" s="271">
        <v>275</v>
      </c>
      <c r="B21" s="91">
        <v>3.4384013114973686</v>
      </c>
      <c r="C21" s="92">
        <v>3.3931557390229106</v>
      </c>
      <c r="D21" s="92">
        <v>3.3899379439636292</v>
      </c>
      <c r="E21" s="92">
        <v>3.3570854953873717</v>
      </c>
      <c r="F21" s="92">
        <v>3.345514565911627</v>
      </c>
      <c r="G21" s="92">
        <v>3.327532022097025</v>
      </c>
      <c r="H21" s="92">
        <v>3.3326358465017907</v>
      </c>
      <c r="I21" s="92">
        <v>3.3076168399610966</v>
      </c>
      <c r="J21" s="92">
        <v>3.3016210526711873</v>
      </c>
      <c r="K21" s="92">
        <v>3.264869127044363</v>
      </c>
      <c r="L21" s="92">
        <v>3.253053402527599</v>
      </c>
      <c r="M21" s="92">
        <v>3.236165596981638</v>
      </c>
      <c r="N21" s="92">
        <v>3.2459350148375674</v>
      </c>
      <c r="O21" s="92">
        <v>3.2195265464135967</v>
      </c>
      <c r="P21" s="92">
        <v>3.2206802093230933</v>
      </c>
    </row>
    <row r="22" spans="1:16" ht="11.25">
      <c r="A22" s="271">
        <v>300</v>
      </c>
      <c r="B22" s="91">
        <v>4.095150075361251</v>
      </c>
      <c r="C22" s="92">
        <v>4.041597234572226</v>
      </c>
      <c r="D22" s="92">
        <v>4.029664172118889</v>
      </c>
      <c r="E22" s="92">
        <v>4.015967249419152</v>
      </c>
      <c r="F22" s="92">
        <v>3.994412570098719</v>
      </c>
      <c r="G22" s="92">
        <v>3.965181254218614</v>
      </c>
      <c r="H22" s="92">
        <v>3.958777070778346</v>
      </c>
      <c r="I22" s="92">
        <v>3.9210480261401</v>
      </c>
      <c r="J22" s="92">
        <v>3.9011905157262223</v>
      </c>
      <c r="K22" s="92">
        <v>3.8808707193338594</v>
      </c>
      <c r="L22" s="92">
        <v>3.8542527042569374</v>
      </c>
      <c r="M22" s="92">
        <v>3.853656177119731</v>
      </c>
      <c r="N22" s="92">
        <v>3.8477576759210232</v>
      </c>
      <c r="O22" s="92">
        <v>3.8366350229111696</v>
      </c>
      <c r="P22" s="92">
        <v>3.8203744995628077</v>
      </c>
    </row>
    <row r="23" spans="1:16" ht="11.25">
      <c r="A23" s="271">
        <v>325</v>
      </c>
      <c r="B23" s="91">
        <v>4.765182910146409</v>
      </c>
      <c r="C23" s="92">
        <v>4.73163791722781</v>
      </c>
      <c r="D23" s="92">
        <v>4.710242465821476</v>
      </c>
      <c r="E23" s="92">
        <v>4.686668035704346</v>
      </c>
      <c r="F23" s="92">
        <v>4.653897289977322</v>
      </c>
      <c r="G23" s="92">
        <v>4.612166267561781</v>
      </c>
      <c r="H23" s="92">
        <v>4.592941867919077</v>
      </c>
      <c r="I23" s="92">
        <v>4.57281748609303</v>
      </c>
      <c r="J23" s="92">
        <v>4.570114375400606</v>
      </c>
      <c r="K23" s="92">
        <v>4.535066270413989</v>
      </c>
      <c r="L23" s="92">
        <v>4.492559750095721</v>
      </c>
      <c r="M23" s="92">
        <v>4.475902319519218</v>
      </c>
      <c r="N23" s="92">
        <v>4.4528213769691005</v>
      </c>
      <c r="O23" s="92">
        <v>4.457350979284322</v>
      </c>
      <c r="P23" s="92">
        <v>4.456437433767049</v>
      </c>
    </row>
    <row r="24" spans="1:16" ht="11.25">
      <c r="A24" s="271">
        <v>350</v>
      </c>
      <c r="B24" s="91">
        <v>5.4741159137465605</v>
      </c>
      <c r="C24" s="92">
        <v>5.431452417796433</v>
      </c>
      <c r="D24" s="92">
        <v>5.399483526325015</v>
      </c>
      <c r="E24" s="92">
        <v>5.3648493411513245</v>
      </c>
      <c r="F24" s="92">
        <v>5.319661325175107</v>
      </c>
      <c r="G24" s="92">
        <v>5.296004971900984</v>
      </c>
      <c r="H24" s="92">
        <v>5.2952685411488005</v>
      </c>
      <c r="I24" s="92">
        <v>5.228848236082165</v>
      </c>
      <c r="J24" s="92">
        <v>5.210836090279254</v>
      </c>
      <c r="K24" s="92">
        <v>5.192629817540739</v>
      </c>
      <c r="L24" s="92">
        <v>5.166535333902908</v>
      </c>
      <c r="M24" s="92">
        <v>5.132711714017242</v>
      </c>
      <c r="N24" s="92">
        <v>5.125827000584278</v>
      </c>
      <c r="O24" s="92">
        <v>5.112261063562849</v>
      </c>
      <c r="P24" s="92">
        <v>5.092123244676037</v>
      </c>
    </row>
    <row r="25" spans="1:16" ht="11.25">
      <c r="A25" s="271">
        <v>375</v>
      </c>
      <c r="B25" s="91">
        <v>6.18995380974369</v>
      </c>
      <c r="C25" s="92">
        <v>6.1371096508583785</v>
      </c>
      <c r="D25" s="92">
        <v>6.125074404943546</v>
      </c>
      <c r="E25" s="92">
        <v>6.078610262075604</v>
      </c>
      <c r="F25" s="92">
        <v>6.052568607758245</v>
      </c>
      <c r="G25" s="92">
        <v>6.015601124043225</v>
      </c>
      <c r="H25" s="92">
        <v>5.967977218654559</v>
      </c>
      <c r="I25" s="92">
        <v>5.918763946811021</v>
      </c>
      <c r="J25" s="92">
        <v>5.918371233170417</v>
      </c>
      <c r="K25" s="92">
        <v>5.883948216645801</v>
      </c>
      <c r="L25" s="92">
        <v>5.840402345929164</v>
      </c>
      <c r="M25" s="92">
        <v>5.823018223914172</v>
      </c>
      <c r="N25" s="92">
        <v>5.797640865633251</v>
      </c>
      <c r="O25" s="92">
        <v>5.76442436042446</v>
      </c>
      <c r="P25" s="92">
        <v>5.7597505244052885</v>
      </c>
    </row>
    <row r="26" spans="1:16" ht="11.25">
      <c r="A26" s="271">
        <v>400</v>
      </c>
      <c r="B26" s="91">
        <v>6.940767200369808</v>
      </c>
      <c r="C26" s="92">
        <v>6.877095051659805</v>
      </c>
      <c r="D26" s="92">
        <v>6.853580485702153</v>
      </c>
      <c r="E26" s="92">
        <v>6.794144439358077</v>
      </c>
      <c r="F26" s="92">
        <v>6.754569627316855</v>
      </c>
      <c r="G26" s="92">
        <v>6.736365888132287</v>
      </c>
      <c r="H26" s="92">
        <v>6.706901097549829</v>
      </c>
      <c r="I26" s="92">
        <v>6.641714251170284</v>
      </c>
      <c r="J26" s="92">
        <v>6.624977083199368</v>
      </c>
      <c r="K26" s="92">
        <v>6.572922607602069</v>
      </c>
      <c r="L26" s="92">
        <v>6.5461325893251505</v>
      </c>
      <c r="M26" s="92">
        <v>6.509954775272807</v>
      </c>
      <c r="N26" s="92">
        <v>6.464589571315288</v>
      </c>
      <c r="O26" s="92">
        <v>6.446992823626809</v>
      </c>
      <c r="P26" s="92">
        <v>6.42131205055017</v>
      </c>
    </row>
    <row r="27" spans="1:16" ht="11.25">
      <c r="A27" s="271">
        <v>425</v>
      </c>
      <c r="B27" s="91">
        <v>7.725787097466224</v>
      </c>
      <c r="C27" s="92">
        <v>7.650649544953374</v>
      </c>
      <c r="D27" s="92">
        <v>7.6149685290579745</v>
      </c>
      <c r="E27" s="92">
        <v>7.575632575829879</v>
      </c>
      <c r="F27" s="92">
        <v>7.522130625146511</v>
      </c>
      <c r="G27" s="92">
        <v>7.4548400757885895</v>
      </c>
      <c r="H27" s="92">
        <v>7.444090181171803</v>
      </c>
      <c r="I27" s="92">
        <v>7.361628167656033</v>
      </c>
      <c r="J27" s="92">
        <v>7.327189116685874</v>
      </c>
      <c r="K27" s="92">
        <v>7.292278168395559</v>
      </c>
      <c r="L27" s="92">
        <v>7.246495177724572</v>
      </c>
      <c r="M27" s="92">
        <v>7.227021533349873</v>
      </c>
      <c r="N27" s="92">
        <v>7.160569428964792</v>
      </c>
      <c r="O27" s="92">
        <v>7.159320026318259</v>
      </c>
      <c r="P27" s="92">
        <v>7.111475676125657</v>
      </c>
    </row>
    <row r="28" spans="1:16" ht="11.25">
      <c r="A28" s="271">
        <v>450</v>
      </c>
      <c r="B28" s="91">
        <v>8.510838040890368</v>
      </c>
      <c r="C28" s="92">
        <v>8.42322945038699</v>
      </c>
      <c r="D28" s="92">
        <v>8.374305947869232</v>
      </c>
      <c r="E28" s="92">
        <v>8.321003826900782</v>
      </c>
      <c r="F28" s="92">
        <v>8.287120891167945</v>
      </c>
      <c r="G28" s="92">
        <v>8.238740139084303</v>
      </c>
      <c r="H28" s="92">
        <v>8.17621866610444</v>
      </c>
      <c r="I28" s="92">
        <v>8.111483951706111</v>
      </c>
      <c r="J28" s="92">
        <v>8.095071987852473</v>
      </c>
      <c r="K28" s="92">
        <v>8.041465207312315</v>
      </c>
      <c r="L28" s="92">
        <v>7.975664038808333</v>
      </c>
      <c r="M28" s="92">
        <v>7.935798201357193</v>
      </c>
      <c r="N28" s="92">
        <v>7.885038165624398</v>
      </c>
      <c r="O28" s="92">
        <v>7.86222400996547</v>
      </c>
      <c r="P28" s="92">
        <v>7.829713515183307</v>
      </c>
    </row>
    <row r="29" spans="1:16" ht="11.25">
      <c r="A29" s="271">
        <v>475</v>
      </c>
      <c r="B29" s="91">
        <v>9.324844623782038</v>
      </c>
      <c r="C29" s="92">
        <v>9.255559428377635</v>
      </c>
      <c r="D29" s="92">
        <v>9.163568523990472</v>
      </c>
      <c r="E29" s="92">
        <v>9.095604606773117</v>
      </c>
      <c r="F29" s="92">
        <v>9.046334161546953</v>
      </c>
      <c r="G29" s="92">
        <v>8.981050788209402</v>
      </c>
      <c r="H29" s="92">
        <v>8.936916014229341</v>
      </c>
      <c r="I29" s="92">
        <v>8.890797425113336</v>
      </c>
      <c r="J29" s="92">
        <v>8.855694741367461</v>
      </c>
      <c r="K29" s="92">
        <v>8.782016729041692</v>
      </c>
      <c r="L29" s="92">
        <v>8.733177079912096</v>
      </c>
      <c r="M29" s="92">
        <v>8.671883430077619</v>
      </c>
      <c r="N29" s="92">
        <v>8.637556353939454</v>
      </c>
      <c r="O29" s="92">
        <v>8.592074840919395</v>
      </c>
      <c r="P29" s="92">
        <v>8.57560148152293</v>
      </c>
    </row>
    <row r="30" spans="1:16" ht="11.25">
      <c r="A30" s="271">
        <v>500</v>
      </c>
      <c r="B30" s="91">
        <v>10.178080747284735</v>
      </c>
      <c r="C30" s="92">
        <v>10.075036278818166</v>
      </c>
      <c r="D30" s="92">
        <v>10.019033435756347</v>
      </c>
      <c r="E30" s="92">
        <v>9.929691084334847</v>
      </c>
      <c r="F30" s="92">
        <v>9.833549313298361</v>
      </c>
      <c r="G30" s="92">
        <v>9.787810081519105</v>
      </c>
      <c r="H30" s="92">
        <v>9.725728635221925</v>
      </c>
      <c r="I30" s="92">
        <v>9.66104659064869</v>
      </c>
      <c r="J30" s="92">
        <v>9.605937403455368</v>
      </c>
      <c r="K30" s="92">
        <v>9.549710030314529</v>
      </c>
      <c r="L30" s="92">
        <v>9.479367729235106</v>
      </c>
      <c r="M30" s="92">
        <v>9.434877353786963</v>
      </c>
      <c r="N30" s="92">
        <v>9.377683473477394</v>
      </c>
      <c r="O30" s="92">
        <v>9.34849143610344</v>
      </c>
      <c r="P30" s="92">
        <v>9.30789482750412</v>
      </c>
    </row>
    <row r="31" spans="1:16" ht="11.25">
      <c r="A31" s="271">
        <v>525</v>
      </c>
      <c r="B31" s="91">
        <v>11.06915886855946</v>
      </c>
      <c r="C31" s="92">
        <v>10.930447982079501</v>
      </c>
      <c r="D31" s="92">
        <v>10.877649857149896</v>
      </c>
      <c r="E31" s="92">
        <v>10.751287025689438</v>
      </c>
      <c r="F31" s="92">
        <v>10.690251236342803</v>
      </c>
      <c r="G31" s="92">
        <v>10.618396819411284</v>
      </c>
      <c r="H31" s="92">
        <v>10.536678615181575</v>
      </c>
      <c r="I31" s="92">
        <v>10.458147531433676</v>
      </c>
      <c r="J31" s="92">
        <v>10.421474509485952</v>
      </c>
      <c r="K31" s="92">
        <v>10.344172764045862</v>
      </c>
      <c r="L31" s="92">
        <v>10.291497386507373</v>
      </c>
      <c r="M31" s="92">
        <v>10.224433335215192</v>
      </c>
      <c r="N31" s="92">
        <v>10.184279225344731</v>
      </c>
      <c r="O31" s="92">
        <v>10.13114691272576</v>
      </c>
      <c r="P31" s="92">
        <v>10.065313991073092</v>
      </c>
    </row>
    <row r="32" spans="1:16" ht="11.25">
      <c r="A32" s="271">
        <v>550</v>
      </c>
      <c r="B32" s="91">
        <v>11.992342955672273</v>
      </c>
      <c r="C32" s="92">
        <v>11.856610038011622</v>
      </c>
      <c r="D32" s="92">
        <v>11.768304524531523</v>
      </c>
      <c r="E32" s="92">
        <v>11.643335631972251</v>
      </c>
      <c r="F32" s="92">
        <v>11.54553162925598</v>
      </c>
      <c r="G32" s="92">
        <v>11.47586609110234</v>
      </c>
      <c r="H32" s="92">
        <v>11.394835850952116</v>
      </c>
      <c r="I32" s="92">
        <v>11.278697388152127</v>
      </c>
      <c r="J32" s="92">
        <v>11.217621051404752</v>
      </c>
      <c r="K32" s="92">
        <v>11.124444213733419</v>
      </c>
      <c r="L32" s="92">
        <v>11.048799402749095</v>
      </c>
      <c r="M32" s="92">
        <v>10.998786489993131</v>
      </c>
      <c r="N32" s="92">
        <v>10.934162316444862</v>
      </c>
      <c r="O32" s="92">
        <v>10.897464349072381</v>
      </c>
      <c r="P32" s="92">
        <v>10.847561848625153</v>
      </c>
    </row>
    <row r="33" spans="1:16" ht="11.25">
      <c r="A33" s="271">
        <v>575</v>
      </c>
      <c r="B33" s="91">
        <v>12.98457926008838</v>
      </c>
      <c r="C33" s="92">
        <v>12.811149160166476</v>
      </c>
      <c r="D33" s="92">
        <v>12.685280215468715</v>
      </c>
      <c r="E33" s="92">
        <v>12.56351493818797</v>
      </c>
      <c r="F33" s="92">
        <v>12.426764244259198</v>
      </c>
      <c r="G33" s="92">
        <v>12.318596986515816</v>
      </c>
      <c r="H33" s="92">
        <v>12.239965710701355</v>
      </c>
      <c r="I33" s="92">
        <v>12.12480004317139</v>
      </c>
      <c r="J33" s="92">
        <v>12.065280880068764</v>
      </c>
      <c r="K33" s="92">
        <v>11.970108446807057</v>
      </c>
      <c r="L33" s="92">
        <v>11.906915526086657</v>
      </c>
      <c r="M33" s="92">
        <v>11.834303163888837</v>
      </c>
      <c r="N33" s="92">
        <v>11.749913242113095</v>
      </c>
      <c r="O33" s="92">
        <v>11.687650918034763</v>
      </c>
      <c r="P33" s="92">
        <v>11.610852298488433</v>
      </c>
    </row>
    <row r="34" spans="1:16" ht="11.25">
      <c r="A34" s="271">
        <v>600</v>
      </c>
      <c r="B34" s="91">
        <v>13.95698238892119</v>
      </c>
      <c r="C34" s="92">
        <v>13.788416963087592</v>
      </c>
      <c r="D34" s="92">
        <v>13.667374170681446</v>
      </c>
      <c r="E34" s="92">
        <v>13.506120362034146</v>
      </c>
      <c r="F34" s="92">
        <v>13.372575630768324</v>
      </c>
      <c r="G34" s="92">
        <v>13.267918850031363</v>
      </c>
      <c r="H34" s="92">
        <v>13.148932350438175</v>
      </c>
      <c r="I34" s="92">
        <v>13.036242050381228</v>
      </c>
      <c r="J34" s="92">
        <v>12.935593290182679</v>
      </c>
      <c r="K34" s="92">
        <v>12.84217352004581</v>
      </c>
      <c r="L34" s="92">
        <v>12.737380768789242</v>
      </c>
      <c r="M34" s="92">
        <v>12.666072138800052</v>
      </c>
      <c r="N34" s="92">
        <v>12.584921822087459</v>
      </c>
      <c r="O34" s="92">
        <v>12.494688024165917</v>
      </c>
      <c r="P34" s="92">
        <v>12.441052292456503</v>
      </c>
    </row>
    <row r="35" spans="1:16" ht="11.25">
      <c r="A35" s="271">
        <v>625</v>
      </c>
      <c r="B35" s="91">
        <v>14.99110111829107</v>
      </c>
      <c r="C35" s="92">
        <v>14.829212999856106</v>
      </c>
      <c r="D35" s="92">
        <v>14.66838498173997</v>
      </c>
      <c r="E35" s="92">
        <v>14.511851305340082</v>
      </c>
      <c r="F35" s="92">
        <v>14.336857933687643</v>
      </c>
      <c r="G35" s="92">
        <v>14.191078733205082</v>
      </c>
      <c r="H35" s="92">
        <v>14.075662614221407</v>
      </c>
      <c r="I35" s="92">
        <v>13.920813816669531</v>
      </c>
      <c r="J35" s="92">
        <v>13.822774208608173</v>
      </c>
      <c r="K35" s="92">
        <v>13.732546258690402</v>
      </c>
      <c r="L35" s="92">
        <v>13.629655157292873</v>
      </c>
      <c r="M35" s="92">
        <v>13.514996124038623</v>
      </c>
      <c r="N35" s="92">
        <v>13.435343687071612</v>
      </c>
      <c r="O35" s="92">
        <v>13.345455869473646</v>
      </c>
      <c r="P35" s="92">
        <v>13.291866017633742</v>
      </c>
    </row>
    <row r="36" spans="1:16" ht="11.25">
      <c r="A36" s="271">
        <v>650</v>
      </c>
      <c r="B36" s="91">
        <v>16.08707036079887</v>
      </c>
      <c r="C36" s="92">
        <v>15.837117766546433</v>
      </c>
      <c r="D36" s="92">
        <v>15.68273032551389</v>
      </c>
      <c r="E36" s="92">
        <v>15.484382439946417</v>
      </c>
      <c r="F36" s="92">
        <v>15.362196005786457</v>
      </c>
      <c r="G36" s="92">
        <v>15.172985444829425</v>
      </c>
      <c r="H36" s="92">
        <v>15.062640545499455</v>
      </c>
      <c r="I36" s="92">
        <v>14.911294271942308</v>
      </c>
      <c r="J36" s="92">
        <v>14.769159371339128</v>
      </c>
      <c r="K36" s="92">
        <v>14.635473814353544</v>
      </c>
      <c r="L36" s="92">
        <v>14.535857472304711</v>
      </c>
      <c r="M36" s="92">
        <v>14.375304180769149</v>
      </c>
      <c r="N36" s="92">
        <v>14.298427274555157</v>
      </c>
      <c r="O36" s="92">
        <v>14.210187690908429</v>
      </c>
      <c r="P36" s="92">
        <v>14.111349282238272</v>
      </c>
    </row>
    <row r="37" spans="1:16" ht="11.25">
      <c r="A37" s="271">
        <v>675</v>
      </c>
      <c r="B37" s="91">
        <v>17.144683097715895</v>
      </c>
      <c r="C37" s="92">
        <v>16.951376580023723</v>
      </c>
      <c r="D37" s="92">
        <v>16.755010916498314</v>
      </c>
      <c r="E37" s="92">
        <v>16.562812891154643</v>
      </c>
      <c r="F37" s="92">
        <v>16.3485000568844</v>
      </c>
      <c r="G37" s="92">
        <v>16.213799468911084</v>
      </c>
      <c r="H37" s="92">
        <v>16.059944238206075</v>
      </c>
      <c r="I37" s="92">
        <v>15.86355079980651</v>
      </c>
      <c r="J37" s="92">
        <v>15.724929300758847</v>
      </c>
      <c r="K37" s="92">
        <v>15.59523339166927</v>
      </c>
      <c r="L37" s="92">
        <v>15.450268628990827</v>
      </c>
      <c r="M37" s="92">
        <v>15.340936400404273</v>
      </c>
      <c r="N37" s="92">
        <v>15.218234950748318</v>
      </c>
      <c r="O37" s="92">
        <v>15.083076756237674</v>
      </c>
      <c r="P37" s="92">
        <v>14.985997666964296</v>
      </c>
    </row>
    <row r="38" spans="1:16" ht="11.25">
      <c r="A38" s="271">
        <v>700</v>
      </c>
      <c r="B38" s="91">
        <v>18.256871345564164</v>
      </c>
      <c r="C38" s="92">
        <v>18.02172349985382</v>
      </c>
      <c r="D38" s="92">
        <v>17.833332081239316</v>
      </c>
      <c r="E38" s="92">
        <v>17.64894914045021</v>
      </c>
      <c r="F38" s="92">
        <v>17.44050565637846</v>
      </c>
      <c r="G38" s="92">
        <v>17.261671686147647</v>
      </c>
      <c r="H38" s="92">
        <v>17.06198036927954</v>
      </c>
      <c r="I38" s="92">
        <v>16.87010524205487</v>
      </c>
      <c r="J38" s="92">
        <v>16.736345323271042</v>
      </c>
      <c r="K38" s="92">
        <v>16.560099265138238</v>
      </c>
      <c r="L38" s="92">
        <v>16.419083784744817</v>
      </c>
      <c r="M38" s="92">
        <v>16.26250600593135</v>
      </c>
      <c r="N38" s="92">
        <v>16.14313005368573</v>
      </c>
      <c r="O38" s="92">
        <v>16.010086723429517</v>
      </c>
      <c r="P38" s="92">
        <v>15.915910867450071</v>
      </c>
    </row>
    <row r="39" spans="1:16" ht="11.25">
      <c r="A39" s="271">
        <v>725</v>
      </c>
      <c r="B39" s="91">
        <v>19.42363125998874</v>
      </c>
      <c r="C39" s="92">
        <v>19.144771334981236</v>
      </c>
      <c r="D39" s="92">
        <v>18.96602480911201</v>
      </c>
      <c r="E39" s="92">
        <v>18.73722844697286</v>
      </c>
      <c r="F39" s="92">
        <v>18.536257263484988</v>
      </c>
      <c r="G39" s="92">
        <v>18.311031260975476</v>
      </c>
      <c r="H39" s="92">
        <v>18.1170503971217</v>
      </c>
      <c r="I39" s="92">
        <v>17.9310856615163</v>
      </c>
      <c r="J39" s="92">
        <v>17.74974814877397</v>
      </c>
      <c r="K39" s="92">
        <v>17.578236798977628</v>
      </c>
      <c r="L39" s="92">
        <v>17.388701245441023</v>
      </c>
      <c r="M39" s="92">
        <v>17.23600136598855</v>
      </c>
      <c r="N39" s="92">
        <v>17.121135775229526</v>
      </c>
      <c r="O39" s="92">
        <v>16.99136846781444</v>
      </c>
      <c r="P39" s="92">
        <v>16.847617597598568</v>
      </c>
    </row>
    <row r="40" spans="1:16" ht="11.25">
      <c r="A40" s="271">
        <v>750</v>
      </c>
      <c r="B40" s="91">
        <v>20.589417571370614</v>
      </c>
      <c r="C40" s="92">
        <v>20.32050593160326</v>
      </c>
      <c r="D40" s="92">
        <v>20.097470586682434</v>
      </c>
      <c r="E40" s="92">
        <v>19.82222046779895</v>
      </c>
      <c r="F40" s="92">
        <v>19.630209251241673</v>
      </c>
      <c r="G40" s="92">
        <v>19.41208798253877</v>
      </c>
      <c r="H40" s="92">
        <v>19.225259629726565</v>
      </c>
      <c r="I40" s="92">
        <v>18.99089734713606</v>
      </c>
      <c r="J40" s="92">
        <v>18.815252348003828</v>
      </c>
      <c r="K40" s="92">
        <v>18.59411535705568</v>
      </c>
      <c r="L40" s="92">
        <v>18.409160542180505</v>
      </c>
      <c r="M40" s="92">
        <v>18.261549328697438</v>
      </c>
      <c r="N40" s="92">
        <v>18.096776763630167</v>
      </c>
      <c r="O40" s="92">
        <v>17.97146802228569</v>
      </c>
      <c r="P40" s="92">
        <v>17.83097268482976</v>
      </c>
    </row>
    <row r="41" spans="1:16" ht="11.25">
      <c r="A41" s="271">
        <v>775</v>
      </c>
      <c r="B41" s="91">
        <v>21.80609187478207</v>
      </c>
      <c r="C41" s="92">
        <v>21.491560775394102</v>
      </c>
      <c r="D41" s="92">
        <v>21.279659987222843</v>
      </c>
      <c r="E41" s="92">
        <v>21.01336971749058</v>
      </c>
      <c r="F41" s="92">
        <v>20.774426931776944</v>
      </c>
      <c r="G41" s="92">
        <v>20.507374137729258</v>
      </c>
      <c r="H41" s="92">
        <v>20.32909899470178</v>
      </c>
      <c r="I41" s="92">
        <v>20.101574743094954</v>
      </c>
      <c r="J41" s="92">
        <v>19.875398967003267</v>
      </c>
      <c r="K41" s="92">
        <v>19.659712900289016</v>
      </c>
      <c r="L41" s="92">
        <v>19.480582704793466</v>
      </c>
      <c r="M41" s="92">
        <v>19.281766622764497</v>
      </c>
      <c r="N41" s="92">
        <v>19.12195630967496</v>
      </c>
      <c r="O41" s="92">
        <v>18.944751138429503</v>
      </c>
      <c r="P41" s="92">
        <v>18.808633236214582</v>
      </c>
    </row>
    <row r="42" spans="1:16" ht="11.25">
      <c r="A42" s="271">
        <v>800</v>
      </c>
      <c r="B42" s="91">
        <v>23.12800768230459</v>
      </c>
      <c r="C42" s="92">
        <v>22.766991480275372</v>
      </c>
      <c r="D42" s="92">
        <v>22.45334923330784</v>
      </c>
      <c r="E42" s="92">
        <v>22.13839641915472</v>
      </c>
      <c r="F42" s="92">
        <v>21.909605893302096</v>
      </c>
      <c r="G42" s="92">
        <v>21.65076959061937</v>
      </c>
      <c r="H42" s="92">
        <v>21.423100824363335</v>
      </c>
      <c r="I42" s="92">
        <v>21.20375236545493</v>
      </c>
      <c r="J42" s="92">
        <v>20.984079405728064</v>
      </c>
      <c r="K42" s="92">
        <v>20.77512690841103</v>
      </c>
      <c r="L42" s="92">
        <v>20.543669336125774</v>
      </c>
      <c r="M42" s="92">
        <v>20.350472068668942</v>
      </c>
      <c r="N42" s="92">
        <v>20.19680209049068</v>
      </c>
      <c r="O42" s="92">
        <v>19.965020522663842</v>
      </c>
      <c r="P42" s="92">
        <v>19.834357171711677</v>
      </c>
    </row>
    <row r="43" spans="1:16" ht="11.25">
      <c r="A43" s="271">
        <v>825</v>
      </c>
      <c r="B43" s="91">
        <v>24.514943441292537</v>
      </c>
      <c r="C43" s="92">
        <v>24.095485956498635</v>
      </c>
      <c r="D43" s="92">
        <v>23.775214866318827</v>
      </c>
      <c r="E43" s="92">
        <v>23.369487869455057</v>
      </c>
      <c r="F43" s="92">
        <v>23.091424362347443</v>
      </c>
      <c r="G43" s="92">
        <v>22.842264612733494</v>
      </c>
      <c r="H43" s="92">
        <v>22.563024780135596</v>
      </c>
      <c r="I43" s="92">
        <v>22.353198770977254</v>
      </c>
      <c r="J43" s="92">
        <v>22.080131977727937</v>
      </c>
      <c r="K43" s="92">
        <v>21.879155879087012</v>
      </c>
      <c r="L43" s="92">
        <v>21.65414088047098</v>
      </c>
      <c r="M43" s="92">
        <v>21.467771919090126</v>
      </c>
      <c r="N43" s="92">
        <v>21.260093508471453</v>
      </c>
      <c r="O43" s="92">
        <v>21.032365512509784</v>
      </c>
      <c r="P43" s="92">
        <v>20.84700542969479</v>
      </c>
    </row>
    <row r="44" spans="1:16" ht="11.25">
      <c r="A44" s="271">
        <v>850</v>
      </c>
      <c r="B44" s="91">
        <v>25.90030995261187</v>
      </c>
      <c r="C44" s="92">
        <v>25.42914620020973</v>
      </c>
      <c r="D44" s="92">
        <v>25.05733054141807</v>
      </c>
      <c r="E44" s="92">
        <v>24.73947330832257</v>
      </c>
      <c r="F44" s="92">
        <v>24.36327317663626</v>
      </c>
      <c r="G44" s="92">
        <v>24.018942979510662</v>
      </c>
      <c r="H44" s="92">
        <v>23.748838714895566</v>
      </c>
      <c r="I44" s="92">
        <v>23.486899902514484</v>
      </c>
      <c r="J44" s="92">
        <v>23.221132650599706</v>
      </c>
      <c r="K44" s="92">
        <v>23.029397217923844</v>
      </c>
      <c r="L44" s="92">
        <v>22.7489651161721</v>
      </c>
      <c r="M44" s="92">
        <v>22.570565562033586</v>
      </c>
      <c r="N44" s="92">
        <v>22.306327748530514</v>
      </c>
      <c r="O44" s="92">
        <v>22.146893926018112</v>
      </c>
      <c r="P44" s="92">
        <v>21.90414519418412</v>
      </c>
    </row>
    <row r="45" spans="1:16" ht="11.25">
      <c r="A45" s="271">
        <v>875</v>
      </c>
      <c r="B45" s="91">
        <v>27.33676225410116</v>
      </c>
      <c r="C45" s="92">
        <v>26.89576905270914</v>
      </c>
      <c r="D45" s="92">
        <v>26.47484804077573</v>
      </c>
      <c r="E45" s="92">
        <v>26.03469654341399</v>
      </c>
      <c r="F45" s="92">
        <v>25.674220214596364</v>
      </c>
      <c r="G45" s="92">
        <v>25.32271437163132</v>
      </c>
      <c r="H45" s="92">
        <v>24.915853362143658</v>
      </c>
      <c r="I45" s="92">
        <v>24.664256884822457</v>
      </c>
      <c r="J45" s="92">
        <v>24.40707019938707</v>
      </c>
      <c r="K45" s="92">
        <v>24.16096747764005</v>
      </c>
      <c r="L45" s="92">
        <v>23.887584600632582</v>
      </c>
      <c r="M45" s="92">
        <v>23.65338709597205</v>
      </c>
      <c r="N45" s="92">
        <v>23.45993012284981</v>
      </c>
      <c r="O45" s="92">
        <v>23.243661109479252</v>
      </c>
      <c r="P45" s="92">
        <v>23.005843969835766</v>
      </c>
    </row>
    <row r="46" spans="1:16" ht="11.25">
      <c r="A46" s="271">
        <v>900</v>
      </c>
      <c r="B46" s="91">
        <v>28.895906299301615</v>
      </c>
      <c r="C46" s="92">
        <v>28.33240033592732</v>
      </c>
      <c r="D46" s="92">
        <v>27.868573802033175</v>
      </c>
      <c r="E46" s="92">
        <v>27.459550062027347</v>
      </c>
      <c r="F46" s="92">
        <v>27.05044430460086</v>
      </c>
      <c r="G46" s="92">
        <v>26.646179351846396</v>
      </c>
      <c r="H46" s="92">
        <v>26.251579202391557</v>
      </c>
      <c r="I46" s="92">
        <v>25.916559446344444</v>
      </c>
      <c r="J46" s="92">
        <v>25.571378411196267</v>
      </c>
      <c r="K46" s="92">
        <v>25.335138195391657</v>
      </c>
      <c r="L46" s="92">
        <v>25.070000812234024</v>
      </c>
      <c r="M46" s="92">
        <v>24.844298474873227</v>
      </c>
      <c r="N46" s="92">
        <v>24.59288191757267</v>
      </c>
      <c r="O46" s="92">
        <v>24.31720016096547</v>
      </c>
      <c r="P46" s="92">
        <v>24.152178189832576</v>
      </c>
    </row>
    <row r="47" spans="1:16" ht="11.25">
      <c r="A47" s="271">
        <v>925</v>
      </c>
      <c r="B47" s="91">
        <v>30.401874719353625</v>
      </c>
      <c r="C47" s="92">
        <v>29.88618734922629</v>
      </c>
      <c r="D47" s="92">
        <v>29.381659918003866</v>
      </c>
      <c r="E47" s="92">
        <v>28.849243724117724</v>
      </c>
      <c r="F47" s="92">
        <v>28.3975930916949</v>
      </c>
      <c r="G47" s="92">
        <v>28.02597768568386</v>
      </c>
      <c r="H47" s="92">
        <v>27.578895915797297</v>
      </c>
      <c r="I47" s="92">
        <v>27.267523952169167</v>
      </c>
      <c r="J47" s="92">
        <v>26.913813028153914</v>
      </c>
      <c r="K47" s="92">
        <v>26.48351157887499</v>
      </c>
      <c r="L47" s="92">
        <v>26.2277467787258</v>
      </c>
      <c r="M47" s="92">
        <v>26.011628490798927</v>
      </c>
      <c r="N47" s="92">
        <v>25.699762998206715</v>
      </c>
      <c r="O47" s="92">
        <v>25.499258744739702</v>
      </c>
      <c r="P47" s="92">
        <v>25.27450164662349</v>
      </c>
    </row>
    <row r="48" spans="1:16" ht="11.25">
      <c r="A48" s="271">
        <v>950</v>
      </c>
      <c r="B48" s="91">
        <v>32.01498716206155</v>
      </c>
      <c r="C48" s="92">
        <v>31.37581613676994</v>
      </c>
      <c r="D48" s="92">
        <v>30.925887703425037</v>
      </c>
      <c r="E48" s="92">
        <v>30.352463228299985</v>
      </c>
      <c r="F48" s="92">
        <v>29.860314368252638</v>
      </c>
      <c r="G48" s="92">
        <v>29.448963351537287</v>
      </c>
      <c r="H48" s="92">
        <v>29.035490192680395</v>
      </c>
      <c r="I48" s="92">
        <v>28.599699790585234</v>
      </c>
      <c r="J48" s="92">
        <v>28.19508381459255</v>
      </c>
      <c r="K48" s="92">
        <v>27.851776027980645</v>
      </c>
      <c r="L48" s="92">
        <v>27.518543161873115</v>
      </c>
      <c r="M48" s="92">
        <v>27.15001456895026</v>
      </c>
      <c r="N48" s="92">
        <v>26.91584266545479</v>
      </c>
      <c r="O48" s="92">
        <v>26.65449102739152</v>
      </c>
      <c r="P48" s="92">
        <v>26.437830593385772</v>
      </c>
    </row>
    <row r="49" spans="1:16" ht="11.25">
      <c r="A49" s="271">
        <v>975</v>
      </c>
      <c r="B49" s="91">
        <v>33.6389617645647</v>
      </c>
      <c r="C49" s="92">
        <v>32.96700655548211</v>
      </c>
      <c r="D49" s="92">
        <v>32.48872634743928</v>
      </c>
      <c r="E49" s="92">
        <v>31.878248603594667</v>
      </c>
      <c r="F49" s="92">
        <v>31.349478400491535</v>
      </c>
      <c r="G49" s="92">
        <v>30.902201985650525</v>
      </c>
      <c r="H49" s="92">
        <v>30.449061601597315</v>
      </c>
      <c r="I49" s="92">
        <v>29.969954923570178</v>
      </c>
      <c r="J49" s="92">
        <v>29.601183142824922</v>
      </c>
      <c r="K49" s="92">
        <v>29.129583101913447</v>
      </c>
      <c r="L49" s="92">
        <v>28.82599477425377</v>
      </c>
      <c r="M49" s="92">
        <v>28.452268509600206</v>
      </c>
      <c r="N49" s="92">
        <v>28.102244437548762</v>
      </c>
      <c r="O49" s="92">
        <v>27.849666530220674</v>
      </c>
      <c r="P49" s="92">
        <v>27.56990864204072</v>
      </c>
    </row>
    <row r="50" spans="1:16" ht="11.25">
      <c r="A50" s="271">
        <v>1000</v>
      </c>
      <c r="B50" s="91">
        <v>35.35545985270519</v>
      </c>
      <c r="C50" s="92">
        <v>34.6608160457141</v>
      </c>
      <c r="D50" s="92">
        <v>34.05784587781585</v>
      </c>
      <c r="E50" s="92">
        <v>33.51084259306379</v>
      </c>
      <c r="F50" s="92">
        <v>32.94743172203162</v>
      </c>
      <c r="G50" s="92">
        <v>32.37297925711998</v>
      </c>
      <c r="H50" s="92">
        <v>31.8839082545405</v>
      </c>
      <c r="I50" s="92">
        <v>31.36529039274336</v>
      </c>
      <c r="J50" s="92">
        <v>30.958137873211673</v>
      </c>
      <c r="K50" s="92">
        <v>30.52552849069817</v>
      </c>
      <c r="L50" s="92">
        <v>30.09626560436731</v>
      </c>
      <c r="M50" s="92">
        <v>29.755657787574215</v>
      </c>
      <c r="N50" s="92">
        <v>29.421946670707303</v>
      </c>
      <c r="O50" s="92">
        <v>29.01083260499782</v>
      </c>
      <c r="P50" s="92">
        <v>28.739408208275393</v>
      </c>
    </row>
    <row r="51" spans="1:16" ht="12" thickBot="1">
      <c r="A51" s="272">
        <v>1025</v>
      </c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 t="s">
        <v>180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C81"/>
  <sheetViews>
    <sheetView zoomScale="90" zoomScaleNormal="90" workbookViewId="0" topLeftCell="A55">
      <selection activeCell="A82" sqref="A82"/>
    </sheetView>
  </sheetViews>
  <sheetFormatPr defaultColWidth="9.00390625" defaultRowHeight="12.75"/>
  <cols>
    <col min="1" max="1" width="11.125" style="0" bestFit="1" customWidth="1"/>
  </cols>
  <sheetData>
    <row r="2" ht="12">
      <c r="A2" s="29" t="s">
        <v>107</v>
      </c>
    </row>
    <row r="3" ht="12">
      <c r="A3" t="s">
        <v>108</v>
      </c>
    </row>
    <row r="4" ht="12">
      <c r="B4" s="35" t="s">
        <v>145</v>
      </c>
    </row>
    <row r="5" spans="2:3" ht="12">
      <c r="B5" s="35"/>
      <c r="C5" s="41" t="s">
        <v>163</v>
      </c>
    </row>
    <row r="6" ht="12">
      <c r="A6" t="s">
        <v>119</v>
      </c>
    </row>
    <row r="7" ht="12">
      <c r="C7" s="41" t="s">
        <v>164</v>
      </c>
    </row>
    <row r="8" ht="12">
      <c r="A8" t="s">
        <v>109</v>
      </c>
    </row>
    <row r="9" ht="12">
      <c r="A9" t="s">
        <v>110</v>
      </c>
    </row>
    <row r="10" ht="12">
      <c r="A10" t="s">
        <v>123</v>
      </c>
    </row>
    <row r="11" ht="12">
      <c r="B11" s="35" t="s">
        <v>146</v>
      </c>
    </row>
    <row r="12" ht="12">
      <c r="B12" s="35" t="s">
        <v>147</v>
      </c>
    </row>
    <row r="13" spans="2:3" ht="12">
      <c r="B13" s="35"/>
      <c r="C13" s="41" t="s">
        <v>165</v>
      </c>
    </row>
    <row r="14" spans="2:3" ht="12">
      <c r="B14" s="35"/>
      <c r="C14" s="41" t="s">
        <v>166</v>
      </c>
    </row>
    <row r="15" ht="12">
      <c r="A15" s="29" t="s">
        <v>111</v>
      </c>
    </row>
    <row r="16" ht="12">
      <c r="A16" t="s">
        <v>112</v>
      </c>
    </row>
    <row r="17" ht="12">
      <c r="B17" s="35" t="s">
        <v>148</v>
      </c>
    </row>
    <row r="18" spans="2:3" ht="12">
      <c r="B18" s="35"/>
      <c r="C18" s="41" t="s">
        <v>167</v>
      </c>
    </row>
    <row r="19" spans="2:3" ht="12">
      <c r="B19" s="35"/>
      <c r="C19" s="41" t="s">
        <v>168</v>
      </c>
    </row>
    <row r="20" spans="2:3" ht="12">
      <c r="B20" s="35"/>
      <c r="C20" s="41" t="s">
        <v>169</v>
      </c>
    </row>
    <row r="21" ht="12">
      <c r="A21" t="s">
        <v>113</v>
      </c>
    </row>
    <row r="22" ht="12">
      <c r="A22" t="s">
        <v>114</v>
      </c>
    </row>
    <row r="23" ht="12">
      <c r="A23" t="s">
        <v>115</v>
      </c>
    </row>
    <row r="25" ht="12">
      <c r="A25" s="29" t="s">
        <v>116</v>
      </c>
    </row>
    <row r="26" ht="12">
      <c r="A26" t="s">
        <v>117</v>
      </c>
    </row>
    <row r="27" ht="12">
      <c r="A27" t="s">
        <v>118</v>
      </c>
    </row>
    <row r="28" ht="12">
      <c r="B28" s="35" t="s">
        <v>149</v>
      </c>
    </row>
    <row r="29" spans="2:3" ht="12">
      <c r="B29" s="35"/>
      <c r="C29" s="41" t="s">
        <v>170</v>
      </c>
    </row>
    <row r="30" ht="12">
      <c r="A30" t="s">
        <v>121</v>
      </c>
    </row>
    <row r="31" ht="12">
      <c r="B31" s="35" t="s">
        <v>150</v>
      </c>
    </row>
    <row r="32" ht="12">
      <c r="B32" s="35" t="s">
        <v>151</v>
      </c>
    </row>
    <row r="33" spans="2:3" ht="12">
      <c r="B33" s="35"/>
      <c r="C33" s="41" t="s">
        <v>171</v>
      </c>
    </row>
    <row r="34" ht="12">
      <c r="A34" t="s">
        <v>120</v>
      </c>
    </row>
    <row r="35" ht="12">
      <c r="B35" s="35" t="s">
        <v>152</v>
      </c>
    </row>
    <row r="36" ht="12">
      <c r="A36" t="s">
        <v>122</v>
      </c>
    </row>
    <row r="37" ht="12">
      <c r="B37" s="35" t="s">
        <v>154</v>
      </c>
    </row>
    <row r="38" ht="12">
      <c r="C38" s="41" t="s">
        <v>170</v>
      </c>
    </row>
    <row r="40" ht="12">
      <c r="A40" t="s">
        <v>187</v>
      </c>
    </row>
    <row r="41" ht="12">
      <c r="A41" t="s">
        <v>188</v>
      </c>
    </row>
    <row r="42" ht="12">
      <c r="A42" t="s">
        <v>189</v>
      </c>
    </row>
    <row r="43" ht="12">
      <c r="A43" t="s">
        <v>190</v>
      </c>
    </row>
    <row r="44" ht="12">
      <c r="A44" t="s">
        <v>191</v>
      </c>
    </row>
    <row r="46" spans="1:3" ht="12">
      <c r="A46" s="65" t="s">
        <v>197</v>
      </c>
      <c r="B46" s="65"/>
      <c r="C46" s="65"/>
    </row>
    <row r="47" ht="12">
      <c r="A47" t="s">
        <v>196</v>
      </c>
    </row>
    <row r="48" ht="12">
      <c r="A48" s="49" t="s">
        <v>198</v>
      </c>
    </row>
    <row r="49" ht="12">
      <c r="A49" t="s">
        <v>195</v>
      </c>
    </row>
    <row r="51" spans="1:3" ht="12">
      <c r="A51" s="65" t="s">
        <v>201</v>
      </c>
      <c r="B51" s="65"/>
      <c r="C51" s="65"/>
    </row>
    <row r="52" ht="12">
      <c r="A52" t="s">
        <v>202</v>
      </c>
    </row>
    <row r="53" ht="12">
      <c r="A53" t="s">
        <v>203</v>
      </c>
    </row>
    <row r="54" spans="1:3" ht="12">
      <c r="A54" s="65" t="s">
        <v>218</v>
      </c>
      <c r="B54" s="65"/>
      <c r="C54" s="65"/>
    </row>
    <row r="55" ht="12">
      <c r="A55" t="s">
        <v>204</v>
      </c>
    </row>
    <row r="56" spans="1:3" ht="12">
      <c r="A56" s="65" t="s">
        <v>217</v>
      </c>
      <c r="B56" s="65"/>
      <c r="C56" s="65"/>
    </row>
    <row r="57" ht="12">
      <c r="A57" t="s">
        <v>210</v>
      </c>
    </row>
    <row r="58" ht="12">
      <c r="A58" t="s">
        <v>211</v>
      </c>
    </row>
    <row r="59" ht="12">
      <c r="A59" t="s">
        <v>213</v>
      </c>
    </row>
    <row r="60" ht="12">
      <c r="A60" t="s">
        <v>214</v>
      </c>
    </row>
    <row r="61" ht="12">
      <c r="A61" t="s">
        <v>215</v>
      </c>
    </row>
    <row r="62" ht="12">
      <c r="A62" t="s">
        <v>212</v>
      </c>
    </row>
    <row r="63" ht="12">
      <c r="A63" t="s">
        <v>216</v>
      </c>
    </row>
    <row r="65" ht="12">
      <c r="A65" t="s">
        <v>222</v>
      </c>
    </row>
    <row r="66" ht="12">
      <c r="A66" t="s">
        <v>223</v>
      </c>
    </row>
    <row r="68" ht="12">
      <c r="A68" t="s">
        <v>221</v>
      </c>
    </row>
    <row r="69" ht="12">
      <c r="A69" t="s">
        <v>219</v>
      </c>
    </row>
    <row r="70" ht="12">
      <c r="A70" t="s">
        <v>220</v>
      </c>
    </row>
    <row r="72" ht="12">
      <c r="A72" s="49">
        <v>37081</v>
      </c>
    </row>
    <row r="73" ht="12">
      <c r="A73" t="s">
        <v>230</v>
      </c>
    </row>
    <row r="74" ht="12">
      <c r="A74" t="s">
        <v>231</v>
      </c>
    </row>
    <row r="76" ht="12">
      <c r="A76" t="s">
        <v>242</v>
      </c>
    </row>
    <row r="78" ht="12">
      <c r="A78" s="49">
        <v>37084</v>
      </c>
    </row>
    <row r="80" ht="12">
      <c r="A80" t="s">
        <v>247</v>
      </c>
    </row>
    <row r="81" ht="12">
      <c r="A81" t="s">
        <v>248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Ballistics</dc:title>
  <dc:subject>External Ballistics</dc:subject>
  <dc:creator>Peter Cronhelm, David L. King, unknown</dc:creator>
  <cp:keywords/>
  <dc:description>A spreadsheet external ballistics program.  Includes calculations for wind speed and direction, shooting on slopes, distance determination via GPS coordinates and much more.
</dc:description>
  <cp:lastModifiedBy>mic</cp:lastModifiedBy>
  <cp:lastPrinted>2004-08-08T19:58:47Z</cp:lastPrinted>
  <dcterms:created xsi:type="dcterms:W3CDTF">1998-06-19T02:33:35Z</dcterms:created>
  <dcterms:modified xsi:type="dcterms:W3CDTF">2008-02-13T16:52:35Z</dcterms:modified>
  <cp:category>External Ballistics</cp:category>
  <cp:version/>
  <cp:contentType/>
  <cp:contentStatus/>
</cp:coreProperties>
</file>